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31"/>
  <workbookPr/>
  <mc:AlternateContent xmlns:mc="http://schemas.openxmlformats.org/markup-compatibility/2006">
    <mc:Choice Requires="x15">
      <x15ac:absPath xmlns:x15ac="http://schemas.microsoft.com/office/spreadsheetml/2010/11/ac" url="/Users/tom.edwards/Library/CloudStorage/GoogleDrive-tom.edwards@archetype.co/My Drive/PSC Support/PredictforPSC/PredictionSpreadsheet/Spreadsheet/"/>
    </mc:Choice>
  </mc:AlternateContent>
  <xr:revisionPtr revIDLastSave="0" documentId="8_{68ED341A-D05F-D04E-855B-CE586772EC6A}" xr6:coauthVersionLast="47" xr6:coauthVersionMax="47" xr10:uidLastSave="{00000000-0000-0000-0000-000000000000}"/>
  <bookViews>
    <workbookView xWindow="0" yWindow="660" windowWidth="30240" windowHeight="17780" xr2:uid="{00000000-000D-0000-FFFF-FFFF00000000}"/>
  </bookViews>
  <sheets>
    <sheet name="Kick-off" sheetId="1" r:id="rId1"/>
    <sheet name="How to use" sheetId="2" r:id="rId2"/>
    <sheet name="Daily Schedule" sheetId="3" r:id="rId3"/>
    <sheet name="Group Tables" sheetId="4" r:id="rId4"/>
    <sheet name="Predictions &amp; Results" sheetId="5" r:id="rId5"/>
    <sheet name="Sweepstake" sheetId="6" r:id="rId6"/>
    <sheet name="Teams" sheetId="7" r:id="rId7"/>
    <sheet name="Settings" sheetId="8" r:id="rId8"/>
    <sheet name="_data" sheetId="9" state="hidden" r:id="rId9"/>
    <sheet name="_lang" sheetId="10" state="hidden" r:id="rId10"/>
    <sheet name="_stadiums" sheetId="11" state="hidden" r:id="rId11"/>
    <sheet name="_codes" sheetId="12" state="hidden" r:id="rId12"/>
    <sheet name="_h2h" sheetId="13" state="hidden" r:id="rId13"/>
  </sheets>
  <definedNames>
    <definedName name="b3Group">'Group Tables'!$D$49:$D$60</definedName>
    <definedName name="b3Rank">'Group Tables'!$N$49:$N$60</definedName>
    <definedName name="b3Team">'Group Tables'!$E$49:$E$60</definedName>
    <definedName name="codesTable">_codes!$A$2:$B$49</definedName>
    <definedName name="dAway">_data!$F$2:$F$105</definedName>
    <definedName name="dGroup">_data!$C$2:$C$105</definedName>
    <definedName name="dHome">_data!$E$2:$E$105</definedName>
    <definedName name="dITV">_data!$H$2:$H$105</definedName>
    <definedName name="dMatch">_data!$A$2:$A$105</definedName>
    <definedName name="dRefA">_data!$J$2:$J$105</definedName>
    <definedName name="dRefB">_data!$K$2:$K$105</definedName>
    <definedName name="dRound">_data!$B$2:$B$105</definedName>
    <definedName name="dRoundN">_data!$I$2:$I$105</definedName>
    <definedName name="dStadium">_data!$G$2:$G$105</definedName>
    <definedName name="dUTC">_data!$D$2:$D$105</definedName>
    <definedName name="h2hTable">_h2h!$A$2:$I$94</definedName>
    <definedName name="langCode">Settings!$AA$7</definedName>
    <definedName name="langList">Settings!$Y$7:$Y$11</definedName>
    <definedName name="langName">Settings!$F$11</definedName>
    <definedName name="langTable">_lang!$A$2:$F$184</definedName>
    <definedName name="Stadiums_lookup">_stadiums!$A$2:$D$17</definedName>
    <definedName name="tzCode">Settings!$AA$9</definedName>
    <definedName name="tzList">Settings!$U$7:$U$16</definedName>
    <definedName name="tzOffset">Settings!$AA$8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4" i="13" l="1"/>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D14" i="8"/>
  <c r="D11" i="8"/>
  <c r="AA9" i="8"/>
  <c r="AA8" i="8"/>
  <c r="AA7" i="8"/>
  <c r="D7" i="8"/>
  <c r="D5" i="8"/>
  <c r="M11" i="7"/>
  <c r="L11" i="7"/>
  <c r="K11" i="7"/>
  <c r="J11" i="7"/>
  <c r="I11" i="7"/>
  <c r="H11" i="7"/>
  <c r="G11" i="7"/>
  <c r="F11" i="7"/>
  <c r="E11" i="7"/>
  <c r="D9" i="7"/>
  <c r="D8" i="7"/>
  <c r="D7" i="7"/>
  <c r="D4" i="7"/>
  <c r="S29" i="6"/>
  <c r="R29" i="6"/>
  <c r="O29" i="6"/>
  <c r="I29" i="6"/>
  <c r="H29" i="6"/>
  <c r="E29" i="6"/>
  <c r="D27" i="6"/>
  <c r="D26" i="6"/>
  <c r="S22" i="6"/>
  <c r="D22" i="6"/>
  <c r="S21" i="6"/>
  <c r="D21" i="6"/>
  <c r="S20" i="6"/>
  <c r="D20" i="6"/>
  <c r="S19" i="6"/>
  <c r="N19" i="6"/>
  <c r="I19" i="6"/>
  <c r="D18" i="6"/>
  <c r="D15" i="6"/>
  <c r="D14" i="6"/>
  <c r="D13" i="6"/>
  <c r="D12" i="6"/>
  <c r="D8" i="6"/>
  <c r="D6" i="6"/>
  <c r="D4" i="6"/>
  <c r="F64" i="4"/>
  <c r="E64" i="4"/>
  <c r="D64" i="4"/>
  <c r="O48" i="4"/>
  <c r="N48" i="4"/>
  <c r="M48" i="4"/>
  <c r="L48" i="4"/>
  <c r="K48" i="4"/>
  <c r="J48" i="4"/>
  <c r="I48" i="4"/>
  <c r="H48" i="4"/>
  <c r="G48" i="4"/>
  <c r="F48" i="4"/>
  <c r="E48" i="4"/>
  <c r="D48" i="4"/>
  <c r="D46" i="4"/>
  <c r="AO39" i="4"/>
  <c r="AN39" i="4"/>
  <c r="AM39" i="4"/>
  <c r="AL39" i="4"/>
  <c r="AK39" i="4"/>
  <c r="AJ39" i="4"/>
  <c r="AI39" i="4"/>
  <c r="AH39" i="4"/>
  <c r="AD39" i="4"/>
  <c r="AB39" i="4"/>
  <c r="AA39" i="4"/>
  <c r="Z39" i="4"/>
  <c r="Y39" i="4"/>
  <c r="X39" i="4"/>
  <c r="W39" i="4"/>
  <c r="V39" i="4"/>
  <c r="U39" i="4"/>
  <c r="Q39" i="4"/>
  <c r="O39" i="4"/>
  <c r="N39" i="4"/>
  <c r="M39" i="4"/>
  <c r="L39" i="4"/>
  <c r="K39" i="4"/>
  <c r="J39" i="4"/>
  <c r="I39" i="4"/>
  <c r="H39" i="4"/>
  <c r="D39" i="4"/>
  <c r="AD38" i="4"/>
  <c r="Q38" i="4"/>
  <c r="D38" i="4"/>
  <c r="AO30" i="4"/>
  <c r="AN30" i="4"/>
  <c r="AM30" i="4"/>
  <c r="AL30" i="4"/>
  <c r="AK30" i="4"/>
  <c r="AJ30" i="4"/>
  <c r="AI30" i="4"/>
  <c r="AH30" i="4"/>
  <c r="AD30" i="4"/>
  <c r="AB30" i="4"/>
  <c r="AA30" i="4"/>
  <c r="Z30" i="4"/>
  <c r="Y30" i="4"/>
  <c r="X30" i="4"/>
  <c r="W30" i="4"/>
  <c r="V30" i="4"/>
  <c r="U30" i="4"/>
  <c r="Q30" i="4"/>
  <c r="O30" i="4"/>
  <c r="N30" i="4"/>
  <c r="M30" i="4"/>
  <c r="L30" i="4"/>
  <c r="K30" i="4"/>
  <c r="J30" i="4"/>
  <c r="I30" i="4"/>
  <c r="H30" i="4"/>
  <c r="D30" i="4"/>
  <c r="AD29" i="4"/>
  <c r="Q29" i="4"/>
  <c r="D29" i="4"/>
  <c r="AO21" i="4"/>
  <c r="AN21" i="4"/>
  <c r="AM21" i="4"/>
  <c r="AL21" i="4"/>
  <c r="AK21" i="4"/>
  <c r="AJ21" i="4"/>
  <c r="AI21" i="4"/>
  <c r="AH21" i="4"/>
  <c r="AD21" i="4"/>
  <c r="AB21" i="4"/>
  <c r="AA21" i="4"/>
  <c r="Z21" i="4"/>
  <c r="Y21" i="4"/>
  <c r="X21" i="4"/>
  <c r="W21" i="4"/>
  <c r="V21" i="4"/>
  <c r="U21" i="4"/>
  <c r="Q21" i="4"/>
  <c r="O21" i="4"/>
  <c r="N21" i="4"/>
  <c r="M21" i="4"/>
  <c r="L21" i="4"/>
  <c r="K21" i="4"/>
  <c r="J21" i="4"/>
  <c r="I21" i="4"/>
  <c r="H21" i="4"/>
  <c r="D21" i="4"/>
  <c r="AD20" i="4"/>
  <c r="Q20" i="4"/>
  <c r="D20"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D12" i="4"/>
  <c r="AB12" i="4"/>
  <c r="AA12" i="4"/>
  <c r="Z12" i="4"/>
  <c r="Y12" i="4"/>
  <c r="X12" i="4"/>
  <c r="W12" i="4"/>
  <c r="V12" i="4"/>
  <c r="U12" i="4"/>
  <c r="Q12" i="4"/>
  <c r="O12" i="4"/>
  <c r="N12" i="4"/>
  <c r="M12" i="4"/>
  <c r="L12" i="4"/>
  <c r="K12" i="4"/>
  <c r="J12" i="4"/>
  <c r="I12" i="4"/>
  <c r="H12" i="4"/>
  <c r="D12"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D11" i="4"/>
  <c r="Q11" i="4"/>
  <c r="D11" i="4"/>
  <c r="CO10" i="4"/>
  <c r="CN10" i="4"/>
  <c r="CM10" i="4"/>
  <c r="CL10" i="4"/>
  <c r="CK10" i="4"/>
  <c r="CJ10" i="4"/>
  <c r="CI10" i="4"/>
  <c r="CH10" i="4"/>
  <c r="CG10" i="4"/>
  <c r="CF10" i="4"/>
  <c r="CE10" i="4"/>
  <c r="CD10" i="4"/>
  <c r="CC10" i="4"/>
  <c r="CB10" i="4"/>
  <c r="CA10" i="4"/>
  <c r="BZ10" i="4"/>
  <c r="BY10" i="4"/>
  <c r="BX10" i="4"/>
  <c r="BW10" i="4"/>
  <c r="BV10"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T10" i="4"/>
  <c r="AS10" i="4"/>
  <c r="AR10" i="4"/>
  <c r="AQ10" i="4"/>
  <c r="AP10" i="4"/>
  <c r="D9" i="4"/>
  <c r="D6" i="4"/>
  <c r="D4" i="4"/>
  <c r="J83" i="3"/>
  <c r="I83"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J43" i="3"/>
  <c r="I43" i="3"/>
  <c r="J42" i="3"/>
  <c r="I42" i="3"/>
  <c r="J41" i="3"/>
  <c r="I41" i="3"/>
  <c r="J40" i="3"/>
  <c r="I40" i="3"/>
  <c r="J39" i="3"/>
  <c r="I39" i="3"/>
  <c r="J38" i="3"/>
  <c r="I38" i="3"/>
  <c r="J37" i="3"/>
  <c r="I37" i="3"/>
  <c r="J36" i="3"/>
  <c r="I36" i="3"/>
  <c r="J35" i="3"/>
  <c r="I35" i="3"/>
  <c r="J34" i="3"/>
  <c r="I34" i="3"/>
  <c r="J33" i="3"/>
  <c r="I33" i="3"/>
  <c r="J32" i="3"/>
  <c r="I32" i="3"/>
  <c r="J31" i="3"/>
  <c r="I31" i="3"/>
  <c r="J30" i="3"/>
  <c r="I30" i="3"/>
  <c r="J29" i="3"/>
  <c r="I29" i="3"/>
  <c r="J28" i="3"/>
  <c r="I28" i="3"/>
  <c r="J27" i="3"/>
  <c r="I27" i="3"/>
  <c r="J26" i="3"/>
  <c r="I26" i="3"/>
  <c r="J25" i="3"/>
  <c r="I25" i="3"/>
  <c r="J24" i="3"/>
  <c r="I24" i="3"/>
  <c r="J23" i="3"/>
  <c r="I23" i="3"/>
  <c r="J22" i="3"/>
  <c r="I22" i="3"/>
  <c r="J21" i="3"/>
  <c r="I21" i="3"/>
  <c r="J20" i="3"/>
  <c r="I20" i="3"/>
  <c r="J19" i="3"/>
  <c r="I19" i="3"/>
  <c r="J18" i="3"/>
  <c r="I18" i="3"/>
  <c r="J17" i="3"/>
  <c r="I17" i="3"/>
  <c r="J16" i="3"/>
  <c r="I16" i="3"/>
  <c r="J15" i="3"/>
  <c r="I15" i="3"/>
  <c r="J14" i="3"/>
  <c r="I14" i="3"/>
  <c r="J13" i="3"/>
  <c r="I13" i="3"/>
  <c r="J12" i="3"/>
  <c r="I12" i="3"/>
  <c r="N11" i="3"/>
  <c r="M11" i="3"/>
  <c r="L11" i="3"/>
  <c r="K11" i="3"/>
  <c r="J11" i="3"/>
  <c r="I11" i="3"/>
  <c r="H11" i="3"/>
  <c r="G11" i="3"/>
  <c r="F11" i="3"/>
  <c r="E11" i="3"/>
  <c r="D11" i="3"/>
  <c r="D9" i="3"/>
  <c r="D7" i="3"/>
  <c r="D4" i="3"/>
  <c r="K71" i="2"/>
  <c r="V59" i="2"/>
  <c r="V50" i="2"/>
  <c r="V41" i="2"/>
  <c r="V32" i="2"/>
  <c r="V23" i="2"/>
  <c r="V14" i="2"/>
  <c r="Q10" i="2"/>
  <c r="D4" i="2"/>
  <c r="K131" i="1"/>
  <c r="Q120" i="1"/>
  <c r="S75" i="1"/>
  <c r="Q71" i="1"/>
  <c r="BT61" i="1"/>
  <c r="AA61" i="1"/>
  <c r="BT56" i="1"/>
  <c r="BT53" i="1"/>
  <c r="BT50" i="1"/>
  <c r="BJ46" i="1"/>
  <c r="Q46" i="1"/>
  <c r="R41" i="1"/>
  <c r="BY27" i="1"/>
  <c r="AU27" i="1"/>
  <c r="Q27" i="1"/>
  <c r="BY24" i="1"/>
  <c r="AU24" i="1"/>
  <c r="Q24" i="1"/>
  <c r="AI20" i="1"/>
  <c r="AA15" i="1"/>
  <c r="AJ11" i="1"/>
  <c r="D4" i="1"/>
  <c r="AA115" i="5"/>
  <c r="V115" i="5"/>
  <c r="M115" i="3" s="1"/>
  <c r="T115" i="5"/>
  <c r="Y115" i="5" s="1"/>
  <c r="S115" i="5"/>
  <c r="R115" i="5"/>
  <c r="M115" i="5"/>
  <c r="L115" i="5"/>
  <c r="K115" i="3" s="1"/>
  <c r="G115" i="5"/>
  <c r="G115" i="3" s="1"/>
  <c r="F115" i="5"/>
  <c r="F115" i="3" s="1"/>
  <c r="E115" i="5"/>
  <c r="E115" i="3" s="1"/>
  <c r="AA114" i="5"/>
  <c r="V114" i="5"/>
  <c r="M114" i="3" s="1"/>
  <c r="T114" i="5"/>
  <c r="Y114" i="5" s="1"/>
  <c r="Z114" i="5" s="1"/>
  <c r="S114" i="5"/>
  <c r="R114" i="5"/>
  <c r="M114" i="5"/>
  <c r="L114" i="5"/>
  <c r="K114" i="3" s="1"/>
  <c r="G114" i="5"/>
  <c r="G114" i="3" s="1"/>
  <c r="F114" i="5"/>
  <c r="F114" i="3" s="1"/>
  <c r="E114" i="5"/>
  <c r="E114" i="3" s="1"/>
  <c r="AA113" i="5"/>
  <c r="V113" i="5"/>
  <c r="M113" i="3" s="1"/>
  <c r="T113" i="5"/>
  <c r="S113" i="5"/>
  <c r="R113" i="5"/>
  <c r="M113" i="5"/>
  <c r="L113" i="5"/>
  <c r="K113" i="3" s="1"/>
  <c r="G113" i="5"/>
  <c r="G113" i="3" s="1"/>
  <c r="F113" i="5"/>
  <c r="F113" i="3" s="1"/>
  <c r="E113" i="5"/>
  <c r="E113" i="3" s="1"/>
  <c r="AA112" i="5"/>
  <c r="V112" i="5"/>
  <c r="M112" i="3" s="1"/>
  <c r="T112" i="5"/>
  <c r="U112" i="5" s="1"/>
  <c r="N112" i="3" s="1"/>
  <c r="S112" i="5"/>
  <c r="R112" i="5"/>
  <c r="M112" i="5"/>
  <c r="L112" i="5"/>
  <c r="K112" i="3" s="1"/>
  <c r="G112" i="5"/>
  <c r="G112" i="3" s="1"/>
  <c r="F112" i="5"/>
  <c r="F112" i="3" s="1"/>
  <c r="E112" i="5"/>
  <c r="E112" i="3" s="1"/>
  <c r="AA111" i="5"/>
  <c r="V111" i="5"/>
  <c r="M111" i="3" s="1"/>
  <c r="T111" i="5"/>
  <c r="Y111" i="5" s="1"/>
  <c r="Z111" i="5" s="1"/>
  <c r="S111" i="5"/>
  <c r="R111" i="5"/>
  <c r="M111" i="5"/>
  <c r="L111" i="5"/>
  <c r="K111" i="3" s="1"/>
  <c r="G111" i="5"/>
  <c r="G111" i="3" s="1"/>
  <c r="F111" i="5"/>
  <c r="F111" i="3" s="1"/>
  <c r="E111" i="5"/>
  <c r="E111" i="3" s="1"/>
  <c r="AA110" i="5"/>
  <c r="V110" i="5"/>
  <c r="M110" i="3" s="1"/>
  <c r="T110" i="5"/>
  <c r="S110" i="5"/>
  <c r="R110" i="5"/>
  <c r="M110" i="5"/>
  <c r="L110" i="5"/>
  <c r="K110" i="3" s="1"/>
  <c r="G110" i="5"/>
  <c r="G110" i="3" s="1"/>
  <c r="F110" i="5"/>
  <c r="F110" i="3" s="1"/>
  <c r="E110" i="5"/>
  <c r="E110" i="3" s="1"/>
  <c r="AA109" i="5"/>
  <c r="V109" i="5"/>
  <c r="M109" i="3" s="1"/>
  <c r="T109" i="5"/>
  <c r="Y109" i="5" s="1"/>
  <c r="S109" i="5"/>
  <c r="R109" i="5"/>
  <c r="M109" i="5"/>
  <c r="L109" i="5"/>
  <c r="K109" i="3" s="1"/>
  <c r="G109" i="5"/>
  <c r="G109" i="3" s="1"/>
  <c r="F109" i="5"/>
  <c r="F109" i="3" s="1"/>
  <c r="E109" i="5"/>
  <c r="E109" i="3" s="1"/>
  <c r="AA108" i="5"/>
  <c r="V108" i="5"/>
  <c r="M108" i="3" s="1"/>
  <c r="T108" i="5"/>
  <c r="S108" i="5"/>
  <c r="R108" i="5"/>
  <c r="M108" i="5"/>
  <c r="L108" i="5"/>
  <c r="K108" i="3" s="1"/>
  <c r="G108" i="5"/>
  <c r="G108" i="3" s="1"/>
  <c r="F108" i="5"/>
  <c r="F108" i="3" s="1"/>
  <c r="E108" i="5"/>
  <c r="E108" i="3" s="1"/>
  <c r="AA107" i="5"/>
  <c r="V107" i="5"/>
  <c r="M107" i="3" s="1"/>
  <c r="U107" i="5"/>
  <c r="N107" i="3" s="1"/>
  <c r="T107" i="5"/>
  <c r="Y107" i="5" s="1"/>
  <c r="S107" i="5"/>
  <c r="R107" i="5"/>
  <c r="M107" i="5"/>
  <c r="L107" i="5"/>
  <c r="K107" i="3" s="1"/>
  <c r="G107" i="5"/>
  <c r="G107" i="3" s="1"/>
  <c r="F107" i="5"/>
  <c r="F107" i="3" s="1"/>
  <c r="E107" i="5"/>
  <c r="E107" i="3" s="1"/>
  <c r="AA106" i="5"/>
  <c r="Z106" i="5"/>
  <c r="V106" i="5"/>
  <c r="M106" i="3" s="1"/>
  <c r="U106" i="5"/>
  <c r="N106" i="3" s="1"/>
  <c r="T106" i="5"/>
  <c r="Y106" i="5" s="1"/>
  <c r="I111" i="5" s="1"/>
  <c r="I111" i="3" s="1"/>
  <c r="S106" i="5"/>
  <c r="R106" i="5"/>
  <c r="M106" i="5"/>
  <c r="L106" i="5"/>
  <c r="K106" i="3" s="1"/>
  <c r="G106" i="5"/>
  <c r="G106" i="3" s="1"/>
  <c r="F106" i="5"/>
  <c r="F106" i="3" s="1"/>
  <c r="E106" i="5"/>
  <c r="E106" i="3" s="1"/>
  <c r="AA105" i="5"/>
  <c r="V105" i="5"/>
  <c r="M105" i="3" s="1"/>
  <c r="T105" i="5"/>
  <c r="Y105" i="5" s="1"/>
  <c r="S105" i="5"/>
  <c r="R105" i="5"/>
  <c r="M105" i="5"/>
  <c r="L105" i="5"/>
  <c r="K105" i="3" s="1"/>
  <c r="G105" i="5"/>
  <c r="G105" i="3" s="1"/>
  <c r="F105" i="5"/>
  <c r="F105" i="3" s="1"/>
  <c r="E105" i="5"/>
  <c r="E105" i="3" s="1"/>
  <c r="AA104" i="5"/>
  <c r="Y104" i="5"/>
  <c r="I109" i="5" s="1"/>
  <c r="I109" i="3" s="1"/>
  <c r="V104" i="5"/>
  <c r="M104" i="3" s="1"/>
  <c r="U104" i="5"/>
  <c r="N104" i="3" s="1"/>
  <c r="T104" i="5"/>
  <c r="S104" i="5"/>
  <c r="R104" i="5"/>
  <c r="M104" i="5"/>
  <c r="L104" i="5"/>
  <c r="K104" i="3" s="1"/>
  <c r="G104" i="5"/>
  <c r="G104" i="3" s="1"/>
  <c r="F104" i="5"/>
  <c r="F104" i="3" s="1"/>
  <c r="E104" i="5"/>
  <c r="E104" i="3" s="1"/>
  <c r="AA103" i="5"/>
  <c r="V103" i="5"/>
  <c r="M103" i="3" s="1"/>
  <c r="T103" i="5"/>
  <c r="Y103" i="5" s="1"/>
  <c r="S103" i="5"/>
  <c r="R103" i="5"/>
  <c r="M103" i="5"/>
  <c r="L103" i="5"/>
  <c r="K103" i="3" s="1"/>
  <c r="G103" i="5"/>
  <c r="G103" i="3" s="1"/>
  <c r="F103" i="5"/>
  <c r="F103" i="3" s="1"/>
  <c r="E103" i="5"/>
  <c r="E103" i="3" s="1"/>
  <c r="AA102" i="5"/>
  <c r="Y102" i="5"/>
  <c r="I110" i="5" s="1"/>
  <c r="V102" i="5"/>
  <c r="M102" i="3" s="1"/>
  <c r="T102" i="5"/>
  <c r="U102" i="5" s="1"/>
  <c r="N102" i="3" s="1"/>
  <c r="S102" i="5"/>
  <c r="R102" i="5"/>
  <c r="M102" i="5"/>
  <c r="L102" i="5"/>
  <c r="K102" i="3" s="1"/>
  <c r="G102" i="5"/>
  <c r="G102" i="3" s="1"/>
  <c r="F102" i="5"/>
  <c r="F102" i="3" s="1"/>
  <c r="E102" i="5"/>
  <c r="E102" i="3" s="1"/>
  <c r="AA101" i="5"/>
  <c r="V101" i="5"/>
  <c r="M101" i="3" s="1"/>
  <c r="T101" i="5"/>
  <c r="Y101" i="5" s="1"/>
  <c r="S101" i="5"/>
  <c r="R101" i="5"/>
  <c r="M101" i="5"/>
  <c r="L101" i="5"/>
  <c r="K101" i="3" s="1"/>
  <c r="G101" i="5"/>
  <c r="G101" i="3" s="1"/>
  <c r="F101" i="5"/>
  <c r="F101" i="3" s="1"/>
  <c r="E101" i="5"/>
  <c r="E101" i="3" s="1"/>
  <c r="AA100" i="5"/>
  <c r="V100" i="5"/>
  <c r="M100" i="3" s="1"/>
  <c r="T100" i="5"/>
  <c r="Y100" i="5" s="1"/>
  <c r="S100" i="5"/>
  <c r="R100" i="5"/>
  <c r="M100" i="5"/>
  <c r="L100" i="5"/>
  <c r="K100" i="3" s="1"/>
  <c r="G100" i="5"/>
  <c r="G100" i="3" s="1"/>
  <c r="F100" i="5"/>
  <c r="F100" i="3" s="1"/>
  <c r="E100" i="5"/>
  <c r="E100" i="3" s="1"/>
  <c r="AA99" i="5"/>
  <c r="V99" i="5"/>
  <c r="M97" i="3" s="1"/>
  <c r="T99" i="5"/>
  <c r="Y99" i="5" s="1"/>
  <c r="S99" i="5"/>
  <c r="R99" i="5"/>
  <c r="M99" i="5"/>
  <c r="L99" i="5"/>
  <c r="K97" i="3" s="1"/>
  <c r="G99" i="5"/>
  <c r="G97" i="3" s="1"/>
  <c r="F99" i="5"/>
  <c r="F97" i="3" s="1"/>
  <c r="E99" i="5"/>
  <c r="E97" i="3" s="1"/>
  <c r="AA98" i="5"/>
  <c r="Y98" i="5"/>
  <c r="Z98" i="5" s="1"/>
  <c r="V98" i="5"/>
  <c r="M99" i="3" s="1"/>
  <c r="U98" i="5"/>
  <c r="N99" i="3" s="1"/>
  <c r="T98" i="5"/>
  <c r="S98" i="5"/>
  <c r="R98" i="5"/>
  <c r="M98" i="5"/>
  <c r="L98" i="5"/>
  <c r="K99" i="3" s="1"/>
  <c r="G98" i="5"/>
  <c r="G99" i="3" s="1"/>
  <c r="F98" i="5"/>
  <c r="F99" i="3" s="1"/>
  <c r="E98" i="5"/>
  <c r="E99" i="3" s="1"/>
  <c r="AA97" i="5"/>
  <c r="V97" i="5"/>
  <c r="M98" i="3" s="1"/>
  <c r="T97" i="5"/>
  <c r="Y97" i="5" s="1"/>
  <c r="S97" i="5"/>
  <c r="R97" i="5"/>
  <c r="M97" i="5"/>
  <c r="L97" i="5"/>
  <c r="K98" i="3" s="1"/>
  <c r="G97" i="5"/>
  <c r="G98" i="3" s="1"/>
  <c r="F97" i="5"/>
  <c r="F98" i="3" s="1"/>
  <c r="E97" i="5"/>
  <c r="E98" i="3" s="1"/>
  <c r="AA96" i="5"/>
  <c r="Y96" i="5"/>
  <c r="I107" i="5" s="1"/>
  <c r="V96" i="5"/>
  <c r="M96" i="3" s="1"/>
  <c r="U96" i="5"/>
  <c r="N96" i="3" s="1"/>
  <c r="T96" i="5"/>
  <c r="S96" i="5"/>
  <c r="R96" i="5"/>
  <c r="M96" i="5"/>
  <c r="L96" i="5"/>
  <c r="K96" i="3" s="1"/>
  <c r="G96" i="5"/>
  <c r="G96" i="3" s="1"/>
  <c r="F96" i="5"/>
  <c r="F96" i="3" s="1"/>
  <c r="E96" i="5"/>
  <c r="E96" i="3" s="1"/>
  <c r="AA95" i="5"/>
  <c r="V95" i="5"/>
  <c r="M94" i="3" s="1"/>
  <c r="T95" i="5"/>
  <c r="Y95" i="5" s="1"/>
  <c r="S95" i="5"/>
  <c r="R95" i="5"/>
  <c r="M95" i="5"/>
  <c r="L95" i="5"/>
  <c r="K94" i="3" s="1"/>
  <c r="G95" i="5"/>
  <c r="G94" i="3" s="1"/>
  <c r="F95" i="5"/>
  <c r="F94" i="3" s="1"/>
  <c r="E95" i="5"/>
  <c r="E94" i="3" s="1"/>
  <c r="AA94" i="5"/>
  <c r="V94" i="5"/>
  <c r="M95" i="3" s="1"/>
  <c r="U94" i="5"/>
  <c r="N95" i="3" s="1"/>
  <c r="T94" i="5"/>
  <c r="Y94" i="5" s="1"/>
  <c r="S94" i="5"/>
  <c r="R94" i="5"/>
  <c r="M94" i="5"/>
  <c r="L94" i="5"/>
  <c r="K95" i="3" s="1"/>
  <c r="G94" i="5"/>
  <c r="G95" i="3" s="1"/>
  <c r="F94" i="5"/>
  <c r="F95" i="3" s="1"/>
  <c r="E94" i="5"/>
  <c r="E95" i="3" s="1"/>
  <c r="AA93" i="5"/>
  <c r="Y93" i="5"/>
  <c r="Z93" i="5" s="1"/>
  <c r="V93" i="5"/>
  <c r="M92" i="3" s="1"/>
  <c r="T93" i="5"/>
  <c r="U93" i="5" s="1"/>
  <c r="N92" i="3" s="1"/>
  <c r="S93" i="5"/>
  <c r="R93" i="5"/>
  <c r="M93" i="5"/>
  <c r="L93" i="5"/>
  <c r="K92" i="3" s="1"/>
  <c r="G93" i="5"/>
  <c r="G92" i="3" s="1"/>
  <c r="F93" i="5"/>
  <c r="F92" i="3" s="1"/>
  <c r="E93" i="5"/>
  <c r="E92" i="3" s="1"/>
  <c r="AA92" i="5"/>
  <c r="V92" i="5"/>
  <c r="M93" i="3" s="1"/>
  <c r="T92" i="5"/>
  <c r="Y92" i="5" s="1"/>
  <c r="S92" i="5"/>
  <c r="R92" i="5"/>
  <c r="M92" i="5"/>
  <c r="L92" i="5"/>
  <c r="K93" i="3" s="1"/>
  <c r="G92" i="5"/>
  <c r="G93" i="3" s="1"/>
  <c r="F92" i="5"/>
  <c r="F93" i="3" s="1"/>
  <c r="E92" i="5"/>
  <c r="E93" i="3" s="1"/>
  <c r="AA91" i="5"/>
  <c r="V91" i="5"/>
  <c r="M91" i="3" s="1"/>
  <c r="T91" i="5"/>
  <c r="Y91" i="5" s="1"/>
  <c r="S91" i="5"/>
  <c r="R91" i="5"/>
  <c r="M91" i="5"/>
  <c r="L91" i="5"/>
  <c r="K91" i="3" s="1"/>
  <c r="G91" i="5"/>
  <c r="G91" i="3" s="1"/>
  <c r="F91" i="5"/>
  <c r="F91" i="3" s="1"/>
  <c r="E91" i="5"/>
  <c r="E91" i="3" s="1"/>
  <c r="AA90" i="5"/>
  <c r="Y90" i="5"/>
  <c r="I103" i="5" s="1"/>
  <c r="V90" i="5"/>
  <c r="M90" i="3" s="1"/>
  <c r="T90" i="5"/>
  <c r="U90" i="5" s="1"/>
  <c r="N90" i="3" s="1"/>
  <c r="S90" i="5"/>
  <c r="R90" i="5"/>
  <c r="M90" i="5"/>
  <c r="L90" i="5"/>
  <c r="K90" i="3" s="1"/>
  <c r="G90" i="5"/>
  <c r="G90" i="3" s="1"/>
  <c r="F90" i="5"/>
  <c r="F90" i="3" s="1"/>
  <c r="E90" i="5"/>
  <c r="E90" i="3" s="1"/>
  <c r="AA89" i="5"/>
  <c r="V89" i="5"/>
  <c r="M88" i="3" s="1"/>
  <c r="T89" i="5"/>
  <c r="Y89" i="5" s="1"/>
  <c r="S89" i="5"/>
  <c r="R89" i="5"/>
  <c r="M89" i="5"/>
  <c r="L89" i="5"/>
  <c r="K88" i="3" s="1"/>
  <c r="G89" i="5"/>
  <c r="G88" i="3" s="1"/>
  <c r="F89" i="5"/>
  <c r="F88" i="3" s="1"/>
  <c r="E89" i="5"/>
  <c r="E88" i="3" s="1"/>
  <c r="AA88" i="5"/>
  <c r="Y88" i="5"/>
  <c r="Z88" i="5" s="1"/>
  <c r="V88" i="5"/>
  <c r="M89" i="3" s="1"/>
  <c r="U88" i="5"/>
  <c r="N89" i="3" s="1"/>
  <c r="T88" i="5"/>
  <c r="S88" i="5"/>
  <c r="R88" i="5"/>
  <c r="M88" i="5"/>
  <c r="L88" i="5"/>
  <c r="K89" i="3" s="1"/>
  <c r="G88" i="5"/>
  <c r="G89" i="3" s="1"/>
  <c r="F88" i="5"/>
  <c r="F89" i="3" s="1"/>
  <c r="E88" i="5"/>
  <c r="E89" i="3" s="1"/>
  <c r="AA87" i="5"/>
  <c r="V87" i="5"/>
  <c r="M85" i="3" s="1"/>
  <c r="T87" i="5"/>
  <c r="Y87" i="5" s="1"/>
  <c r="S87" i="5"/>
  <c r="R87" i="5"/>
  <c r="M87" i="5"/>
  <c r="L87" i="5"/>
  <c r="K85" i="3" s="1"/>
  <c r="G87" i="5"/>
  <c r="G85" i="3" s="1"/>
  <c r="F87" i="5"/>
  <c r="F85" i="3" s="1"/>
  <c r="E87" i="5"/>
  <c r="E85" i="3" s="1"/>
  <c r="AA86" i="5"/>
  <c r="V86" i="5"/>
  <c r="M87" i="3" s="1"/>
  <c r="U86" i="5"/>
  <c r="N87" i="3" s="1"/>
  <c r="T86" i="5"/>
  <c r="S86" i="5"/>
  <c r="R86" i="5"/>
  <c r="M86" i="5"/>
  <c r="L86" i="5"/>
  <c r="K87" i="3" s="1"/>
  <c r="G86" i="5"/>
  <c r="G87" i="3" s="1"/>
  <c r="F86" i="5"/>
  <c r="F87" i="3" s="1"/>
  <c r="E86" i="5"/>
  <c r="E87" i="3" s="1"/>
  <c r="AA85" i="5"/>
  <c r="V85" i="5"/>
  <c r="M86" i="3" s="1"/>
  <c r="T85" i="5"/>
  <c r="S85" i="5"/>
  <c r="R85" i="5"/>
  <c r="M85" i="5"/>
  <c r="L85" i="5"/>
  <c r="K86" i="3" s="1"/>
  <c r="G85" i="5"/>
  <c r="G86" i="3" s="1"/>
  <c r="F85" i="5"/>
  <c r="F86" i="3" s="1"/>
  <c r="E85" i="5"/>
  <c r="E86" i="3" s="1"/>
  <c r="AA84" i="5"/>
  <c r="V84" i="5"/>
  <c r="M84" i="3" s="1"/>
  <c r="U84" i="5"/>
  <c r="N84" i="3" s="1"/>
  <c r="T84" i="5"/>
  <c r="S84" i="5"/>
  <c r="R84" i="5"/>
  <c r="M84" i="5"/>
  <c r="L84" i="5"/>
  <c r="K84" i="3" s="1"/>
  <c r="G84" i="5"/>
  <c r="G84" i="3" s="1"/>
  <c r="F84" i="5"/>
  <c r="F84" i="3" s="1"/>
  <c r="E84" i="5"/>
  <c r="E84" i="3" s="1"/>
  <c r="AE83" i="5"/>
  <c r="AD83" i="5"/>
  <c r="AF83" i="5" s="1"/>
  <c r="AC83" i="5" s="1"/>
  <c r="AA83" i="5"/>
  <c r="W83" i="5"/>
  <c r="V83" i="5"/>
  <c r="M83" i="3" s="1"/>
  <c r="T83" i="5"/>
  <c r="S83" i="5"/>
  <c r="R83" i="5"/>
  <c r="U83" i="5" s="1"/>
  <c r="N83" i="3" s="1"/>
  <c r="M83" i="5"/>
  <c r="L83" i="5"/>
  <c r="K83" i="3" s="1"/>
  <c r="G83" i="5"/>
  <c r="G83" i="3" s="1"/>
  <c r="F83" i="5"/>
  <c r="F83" i="3" s="1"/>
  <c r="E83" i="5"/>
  <c r="E83" i="3" s="1"/>
  <c r="AE82" i="5"/>
  <c r="AF82" i="5" s="1"/>
  <c r="AD82" i="5"/>
  <c r="AC82" i="5" s="1"/>
  <c r="AA82" i="5"/>
  <c r="W82" i="5"/>
  <c r="V82" i="5"/>
  <c r="M82" i="3" s="1"/>
  <c r="U82" i="5"/>
  <c r="N82" i="3" s="1"/>
  <c r="T82" i="5"/>
  <c r="S82" i="5"/>
  <c r="R82" i="5"/>
  <c r="M82" i="5"/>
  <c r="L82" i="5"/>
  <c r="K82" i="3" s="1"/>
  <c r="G82" i="5"/>
  <c r="G82" i="3" s="1"/>
  <c r="F82" i="5"/>
  <c r="F82" i="3" s="1"/>
  <c r="E82" i="5"/>
  <c r="E82" i="3" s="1"/>
  <c r="AE81" i="5"/>
  <c r="AD81" i="5"/>
  <c r="AF81" i="5" s="1"/>
  <c r="AC81" i="5" s="1"/>
  <c r="AA81" i="5"/>
  <c r="W81" i="5"/>
  <c r="V81" i="5"/>
  <c r="M81" i="3" s="1"/>
  <c r="U81" i="5"/>
  <c r="N81" i="3" s="1"/>
  <c r="T81" i="5"/>
  <c r="S81" i="5"/>
  <c r="R81" i="5"/>
  <c r="M81" i="5"/>
  <c r="L81" i="5"/>
  <c r="K81" i="3" s="1"/>
  <c r="G81" i="5"/>
  <c r="G81" i="3" s="1"/>
  <c r="F81" i="5"/>
  <c r="F81" i="3" s="1"/>
  <c r="E81" i="5"/>
  <c r="E81" i="3" s="1"/>
  <c r="AE80" i="5"/>
  <c r="AD80" i="5"/>
  <c r="AF80" i="5" s="1"/>
  <c r="AC80" i="5" s="1"/>
  <c r="AA80" i="5"/>
  <c r="W80" i="5"/>
  <c r="V80" i="5"/>
  <c r="M80" i="3" s="1"/>
  <c r="T80" i="5"/>
  <c r="U80" i="5" s="1"/>
  <c r="N80" i="3" s="1"/>
  <c r="S80" i="5"/>
  <c r="R80" i="5"/>
  <c r="M80" i="5"/>
  <c r="L80" i="5"/>
  <c r="K80" i="3" s="1"/>
  <c r="G80" i="5"/>
  <c r="G80" i="3" s="1"/>
  <c r="F80" i="5"/>
  <c r="F80" i="3" s="1"/>
  <c r="E80" i="5"/>
  <c r="E80" i="3" s="1"/>
  <c r="AE79" i="5"/>
  <c r="AF79" i="5" s="1"/>
  <c r="AD79" i="5"/>
  <c r="AA79" i="5"/>
  <c r="W79" i="5"/>
  <c r="V79" i="5"/>
  <c r="M79" i="3" s="1"/>
  <c r="U79" i="5"/>
  <c r="N79" i="3" s="1"/>
  <c r="T79" i="5"/>
  <c r="S79" i="5"/>
  <c r="R79" i="5"/>
  <c r="M79" i="5"/>
  <c r="L79" i="5"/>
  <c r="K79" i="3" s="1"/>
  <c r="G79" i="5"/>
  <c r="G79" i="3" s="1"/>
  <c r="F79" i="5"/>
  <c r="F79" i="3" s="1"/>
  <c r="E79" i="5"/>
  <c r="E79" i="3" s="1"/>
  <c r="AE78" i="5"/>
  <c r="AD78" i="5"/>
  <c r="AF78" i="5" s="1"/>
  <c r="AC78" i="5" s="1"/>
  <c r="AA78" i="5"/>
  <c r="W78" i="5"/>
  <c r="V78" i="5"/>
  <c r="M78" i="3" s="1"/>
  <c r="T78" i="5"/>
  <c r="U78" i="5" s="1"/>
  <c r="N78" i="3" s="1"/>
  <c r="S78" i="5"/>
  <c r="R78" i="5"/>
  <c r="M78" i="5"/>
  <c r="L78" i="5"/>
  <c r="K78" i="3" s="1"/>
  <c r="G78" i="5"/>
  <c r="G78" i="3" s="1"/>
  <c r="F78" i="5"/>
  <c r="F78" i="3" s="1"/>
  <c r="E78" i="5"/>
  <c r="E78" i="3" s="1"/>
  <c r="AE77" i="5"/>
  <c r="AF77" i="5" s="1"/>
  <c r="AC77" i="5" s="1"/>
  <c r="AD77" i="5"/>
  <c r="AA77" i="5"/>
  <c r="W77" i="5"/>
  <c r="V77" i="5"/>
  <c r="M77" i="3" s="1"/>
  <c r="T77" i="5"/>
  <c r="U77" i="5" s="1"/>
  <c r="N77" i="3" s="1"/>
  <c r="S77" i="5"/>
  <c r="R77" i="5"/>
  <c r="M77" i="5"/>
  <c r="L77" i="5"/>
  <c r="K77" i="3" s="1"/>
  <c r="G77" i="5"/>
  <c r="G77" i="3" s="1"/>
  <c r="F77" i="5"/>
  <c r="F77" i="3" s="1"/>
  <c r="E77" i="5"/>
  <c r="E77" i="3" s="1"/>
  <c r="AE76" i="5"/>
  <c r="AF76" i="5" s="1"/>
  <c r="AD76" i="5"/>
  <c r="AC76" i="5" s="1"/>
  <c r="AA76" i="5"/>
  <c r="W76" i="5"/>
  <c r="V76" i="5"/>
  <c r="M76" i="3" s="1"/>
  <c r="U76" i="5"/>
  <c r="N76" i="3" s="1"/>
  <c r="T76" i="5"/>
  <c r="S76" i="5"/>
  <c r="R76" i="5"/>
  <c r="M76" i="5"/>
  <c r="L76" i="5"/>
  <c r="K76" i="3" s="1"/>
  <c r="G76" i="5"/>
  <c r="G76" i="3" s="1"/>
  <c r="F76" i="5"/>
  <c r="F76" i="3" s="1"/>
  <c r="E76" i="5"/>
  <c r="E76" i="3" s="1"/>
  <c r="AE75" i="5"/>
  <c r="AD75" i="5"/>
  <c r="AF75" i="5" s="1"/>
  <c r="AC75" i="5" s="1"/>
  <c r="AA75" i="5"/>
  <c r="W75" i="5"/>
  <c r="V75" i="5"/>
  <c r="M75" i="3" s="1"/>
  <c r="U75" i="5"/>
  <c r="N75" i="3" s="1"/>
  <c r="T75" i="5"/>
  <c r="S75" i="5"/>
  <c r="R75" i="5"/>
  <c r="M75" i="5"/>
  <c r="L75" i="5"/>
  <c r="K75" i="3" s="1"/>
  <c r="G75" i="5"/>
  <c r="G75" i="3" s="1"/>
  <c r="F75" i="5"/>
  <c r="F75" i="3" s="1"/>
  <c r="E75" i="5"/>
  <c r="E75" i="3" s="1"/>
  <c r="AF74" i="5"/>
  <c r="AE74" i="5"/>
  <c r="AD74" i="5"/>
  <c r="AC74" i="5"/>
  <c r="AA74" i="5"/>
  <c r="W74" i="5"/>
  <c r="V74" i="5"/>
  <c r="M74" i="3" s="1"/>
  <c r="T74" i="5"/>
  <c r="U74" i="5" s="1"/>
  <c r="N74" i="3" s="1"/>
  <c r="S74" i="5"/>
  <c r="R74" i="5"/>
  <c r="M74" i="5"/>
  <c r="L74" i="5"/>
  <c r="K74" i="3" s="1"/>
  <c r="G74" i="5"/>
  <c r="G74" i="3" s="1"/>
  <c r="F74" i="5"/>
  <c r="F74" i="3" s="1"/>
  <c r="E74" i="5"/>
  <c r="E74" i="3" s="1"/>
  <c r="AF73" i="5"/>
  <c r="AE73" i="5"/>
  <c r="AD73" i="5"/>
  <c r="AC73" i="5" s="1"/>
  <c r="AA73" i="5"/>
  <c r="W73" i="5"/>
  <c r="V73" i="5"/>
  <c r="M73" i="3" s="1"/>
  <c r="U73" i="5"/>
  <c r="N73" i="3" s="1"/>
  <c r="T73" i="5"/>
  <c r="S73" i="5"/>
  <c r="R73" i="5"/>
  <c r="M73" i="5"/>
  <c r="L73" i="5"/>
  <c r="K73" i="3" s="1"/>
  <c r="G73" i="5"/>
  <c r="G73" i="3" s="1"/>
  <c r="F73" i="5"/>
  <c r="F73" i="3" s="1"/>
  <c r="E73" i="5"/>
  <c r="E73" i="3" s="1"/>
  <c r="AE72" i="5"/>
  <c r="AD72" i="5"/>
  <c r="AF72" i="5" s="1"/>
  <c r="AC72" i="5" s="1"/>
  <c r="AA72" i="5"/>
  <c r="W72" i="5"/>
  <c r="V72" i="5"/>
  <c r="M72" i="3" s="1"/>
  <c r="T72" i="5"/>
  <c r="U72" i="5" s="1"/>
  <c r="N72" i="3" s="1"/>
  <c r="S72" i="5"/>
  <c r="R72" i="5"/>
  <c r="M72" i="5"/>
  <c r="L72" i="5"/>
  <c r="K72" i="3" s="1"/>
  <c r="G72" i="5"/>
  <c r="G72" i="3" s="1"/>
  <c r="F72" i="5"/>
  <c r="F72" i="3" s="1"/>
  <c r="E72" i="5"/>
  <c r="E72" i="3" s="1"/>
  <c r="AF71" i="5"/>
  <c r="AE71" i="5"/>
  <c r="AD71" i="5"/>
  <c r="AC71" i="5"/>
  <c r="AA71" i="5"/>
  <c r="W71" i="5"/>
  <c r="V71" i="5"/>
  <c r="M71" i="3" s="1"/>
  <c r="T71" i="5"/>
  <c r="U71" i="5" s="1"/>
  <c r="N71" i="3" s="1"/>
  <c r="S71" i="5"/>
  <c r="R71" i="5"/>
  <c r="M71" i="5"/>
  <c r="L71" i="5"/>
  <c r="K71" i="3" s="1"/>
  <c r="G71" i="5"/>
  <c r="G71" i="3" s="1"/>
  <c r="F71" i="5"/>
  <c r="F71" i="3" s="1"/>
  <c r="E71" i="5"/>
  <c r="E71" i="3" s="1"/>
  <c r="AE70" i="5"/>
  <c r="AF70" i="5" s="1"/>
  <c r="AD70" i="5"/>
  <c r="AA70" i="5"/>
  <c r="W70" i="5"/>
  <c r="V70" i="5"/>
  <c r="M70" i="3" s="1"/>
  <c r="T70" i="5"/>
  <c r="U70" i="5" s="1"/>
  <c r="N70" i="3" s="1"/>
  <c r="S70" i="5"/>
  <c r="R70" i="5"/>
  <c r="M70" i="5"/>
  <c r="L70" i="5"/>
  <c r="K70" i="3" s="1"/>
  <c r="G70" i="5"/>
  <c r="G70" i="3" s="1"/>
  <c r="F70" i="5"/>
  <c r="F70" i="3" s="1"/>
  <c r="E70" i="5"/>
  <c r="E70" i="3" s="1"/>
  <c r="AE69" i="5"/>
  <c r="AD69" i="5"/>
  <c r="AF69" i="5" s="1"/>
  <c r="AC69" i="5" s="1"/>
  <c r="AA69" i="5"/>
  <c r="W69" i="5"/>
  <c r="V69" i="5"/>
  <c r="M69" i="3" s="1"/>
  <c r="T69" i="5"/>
  <c r="U69" i="5" s="1"/>
  <c r="N69" i="3" s="1"/>
  <c r="S69" i="5"/>
  <c r="R69" i="5"/>
  <c r="M69" i="5"/>
  <c r="L69" i="5"/>
  <c r="K69" i="3" s="1"/>
  <c r="G69" i="5"/>
  <c r="G69" i="3" s="1"/>
  <c r="F69" i="5"/>
  <c r="F69" i="3" s="1"/>
  <c r="E69" i="5"/>
  <c r="E69" i="3" s="1"/>
  <c r="AF68" i="5"/>
  <c r="AE68" i="5"/>
  <c r="AD68" i="5"/>
  <c r="AC68" i="5"/>
  <c r="AA68" i="5"/>
  <c r="W68" i="5"/>
  <c r="V68" i="5"/>
  <c r="M68" i="3" s="1"/>
  <c r="T68" i="5"/>
  <c r="U68" i="5" s="1"/>
  <c r="N68" i="3" s="1"/>
  <c r="S68" i="5"/>
  <c r="R68" i="5"/>
  <c r="M68" i="5"/>
  <c r="L68" i="5"/>
  <c r="K68" i="3" s="1"/>
  <c r="G68" i="5"/>
  <c r="G68" i="3" s="1"/>
  <c r="F68" i="5"/>
  <c r="F68" i="3" s="1"/>
  <c r="E68" i="5"/>
  <c r="E68" i="3" s="1"/>
  <c r="AF67" i="5"/>
  <c r="AE67" i="5"/>
  <c r="AD67" i="5"/>
  <c r="AC67" i="5" s="1"/>
  <c r="AA67" i="5"/>
  <c r="W67" i="5"/>
  <c r="V67" i="5"/>
  <c r="M67" i="3" s="1"/>
  <c r="U67" i="5"/>
  <c r="N67" i="3" s="1"/>
  <c r="T67" i="5"/>
  <c r="S67" i="5"/>
  <c r="R67" i="5"/>
  <c r="M67" i="5"/>
  <c r="L67" i="5"/>
  <c r="K67" i="3" s="1"/>
  <c r="G67" i="5"/>
  <c r="G67" i="3" s="1"/>
  <c r="F67" i="5"/>
  <c r="F67" i="3" s="1"/>
  <c r="E67" i="5"/>
  <c r="E67" i="3" s="1"/>
  <c r="AF66" i="5"/>
  <c r="AE66" i="5"/>
  <c r="AD66" i="5"/>
  <c r="AC66" i="5"/>
  <c r="AA66" i="5"/>
  <c r="W66" i="5"/>
  <c r="V66" i="5"/>
  <c r="M66" i="3" s="1"/>
  <c r="T66" i="5"/>
  <c r="U66" i="5" s="1"/>
  <c r="N66" i="3" s="1"/>
  <c r="S66" i="5"/>
  <c r="R66" i="5"/>
  <c r="M66" i="5"/>
  <c r="L66" i="5"/>
  <c r="K66" i="3" s="1"/>
  <c r="G66" i="5"/>
  <c r="G66" i="3" s="1"/>
  <c r="F66" i="5"/>
  <c r="F66" i="3" s="1"/>
  <c r="E66" i="5"/>
  <c r="E66" i="3" s="1"/>
  <c r="AF65" i="5"/>
  <c r="AE65" i="5"/>
  <c r="AD65" i="5"/>
  <c r="AC65" i="5"/>
  <c r="AA65" i="5"/>
  <c r="W65" i="5"/>
  <c r="V65" i="5"/>
  <c r="M65" i="3" s="1"/>
  <c r="T65" i="5"/>
  <c r="U65" i="5" s="1"/>
  <c r="N65" i="3" s="1"/>
  <c r="S65" i="5"/>
  <c r="R65" i="5"/>
  <c r="M65" i="5"/>
  <c r="L65" i="5"/>
  <c r="K65" i="3" s="1"/>
  <c r="G65" i="5"/>
  <c r="G65" i="3" s="1"/>
  <c r="F65" i="5"/>
  <c r="F65" i="3" s="1"/>
  <c r="E65" i="5"/>
  <c r="E65" i="3" s="1"/>
  <c r="AF64" i="5"/>
  <c r="AE64" i="5"/>
  <c r="AD64" i="5"/>
  <c r="AC64" i="5" s="1"/>
  <c r="AA64" i="5"/>
  <c r="W64" i="5"/>
  <c r="V64" i="5"/>
  <c r="M64" i="3" s="1"/>
  <c r="U64" i="5"/>
  <c r="N64" i="3" s="1"/>
  <c r="T64" i="5"/>
  <c r="S64" i="5"/>
  <c r="R64" i="5"/>
  <c r="M64" i="5"/>
  <c r="L64" i="5"/>
  <c r="K64" i="3" s="1"/>
  <c r="G64" i="5"/>
  <c r="G64" i="3" s="1"/>
  <c r="F64" i="5"/>
  <c r="F64" i="3" s="1"/>
  <c r="E64" i="5"/>
  <c r="E64" i="3" s="1"/>
  <c r="AF63" i="5"/>
  <c r="AE63" i="5"/>
  <c r="AD63" i="5"/>
  <c r="AC63" i="5"/>
  <c r="AA63" i="5"/>
  <c r="W63" i="5"/>
  <c r="V63" i="5"/>
  <c r="M63" i="3" s="1"/>
  <c r="T63" i="5"/>
  <c r="U63" i="5" s="1"/>
  <c r="N63" i="3" s="1"/>
  <c r="S63" i="5"/>
  <c r="R63" i="5"/>
  <c r="M63" i="5"/>
  <c r="L63" i="5"/>
  <c r="K63" i="3" s="1"/>
  <c r="G63" i="5"/>
  <c r="G63" i="3" s="1"/>
  <c r="F63" i="5"/>
  <c r="F63" i="3" s="1"/>
  <c r="E63" i="5"/>
  <c r="E63" i="3" s="1"/>
  <c r="AF62" i="5"/>
  <c r="AE62" i="5"/>
  <c r="AD62" i="5"/>
  <c r="AC62" i="5"/>
  <c r="AA62" i="5"/>
  <c r="W62" i="5"/>
  <c r="V62" i="5"/>
  <c r="M62" i="3" s="1"/>
  <c r="T62" i="5"/>
  <c r="U62" i="5" s="1"/>
  <c r="N62" i="3" s="1"/>
  <c r="S62" i="5"/>
  <c r="R62" i="5"/>
  <c r="M62" i="5"/>
  <c r="L62" i="5"/>
  <c r="K62" i="3" s="1"/>
  <c r="G62" i="5"/>
  <c r="G62" i="3" s="1"/>
  <c r="F62" i="5"/>
  <c r="F62" i="3" s="1"/>
  <c r="E62" i="5"/>
  <c r="E62" i="3" s="1"/>
  <c r="AF61" i="5"/>
  <c r="AE61" i="5"/>
  <c r="AD61" i="5"/>
  <c r="AC61" i="5" s="1"/>
  <c r="AA61" i="5"/>
  <c r="W61" i="5"/>
  <c r="V61" i="5"/>
  <c r="M61" i="3" s="1"/>
  <c r="U61" i="5"/>
  <c r="N61" i="3" s="1"/>
  <c r="T61" i="5"/>
  <c r="S61" i="5"/>
  <c r="R61" i="5"/>
  <c r="M61" i="5"/>
  <c r="L61" i="5"/>
  <c r="K61" i="3" s="1"/>
  <c r="G61" i="5"/>
  <c r="G61" i="3" s="1"/>
  <c r="F61" i="5"/>
  <c r="F61" i="3" s="1"/>
  <c r="E61" i="5"/>
  <c r="E61" i="3" s="1"/>
  <c r="AF60" i="5"/>
  <c r="AE60" i="5"/>
  <c r="AD60" i="5"/>
  <c r="AC60" i="5"/>
  <c r="AA60" i="5"/>
  <c r="W60" i="5"/>
  <c r="V60" i="5"/>
  <c r="M60" i="3" s="1"/>
  <c r="U60" i="5"/>
  <c r="N60" i="3" s="1"/>
  <c r="T60" i="5"/>
  <c r="S60" i="5"/>
  <c r="R60" i="5"/>
  <c r="M60" i="5"/>
  <c r="L60" i="5"/>
  <c r="K60" i="3" s="1"/>
  <c r="G60" i="5"/>
  <c r="G60" i="3" s="1"/>
  <c r="F60" i="5"/>
  <c r="F60" i="3" s="1"/>
  <c r="E60" i="5"/>
  <c r="E60" i="3" s="1"/>
  <c r="AF59" i="5"/>
  <c r="AE59" i="5"/>
  <c r="AD59" i="5"/>
  <c r="AC59" i="5"/>
  <c r="AA59" i="5"/>
  <c r="W59" i="5"/>
  <c r="V59" i="5"/>
  <c r="M59" i="3" s="1"/>
  <c r="T59" i="5"/>
  <c r="U59" i="5" s="1"/>
  <c r="N59" i="3" s="1"/>
  <c r="S59" i="5"/>
  <c r="R59" i="5"/>
  <c r="M59" i="5"/>
  <c r="L59" i="5"/>
  <c r="K59" i="3" s="1"/>
  <c r="G59" i="5"/>
  <c r="G59" i="3" s="1"/>
  <c r="F59" i="5"/>
  <c r="F59" i="3" s="1"/>
  <c r="E59" i="5"/>
  <c r="E59" i="3" s="1"/>
  <c r="AF58" i="5"/>
  <c r="AE58" i="5"/>
  <c r="AD58" i="5"/>
  <c r="AC58" i="5" s="1"/>
  <c r="AA58" i="5"/>
  <c r="W58" i="5"/>
  <c r="V58" i="5"/>
  <c r="M58" i="3" s="1"/>
  <c r="T58" i="5"/>
  <c r="U58" i="5" s="1"/>
  <c r="N58" i="3" s="1"/>
  <c r="S58" i="5"/>
  <c r="R58" i="5"/>
  <c r="M58" i="5"/>
  <c r="L58" i="5"/>
  <c r="K58" i="3" s="1"/>
  <c r="G58" i="5"/>
  <c r="G58" i="3" s="1"/>
  <c r="F58" i="5"/>
  <c r="F58" i="3" s="1"/>
  <c r="E58" i="5"/>
  <c r="E58" i="3" s="1"/>
  <c r="AF57" i="5"/>
  <c r="AE57" i="5"/>
  <c r="AD57" i="5"/>
  <c r="AC57" i="5"/>
  <c r="AA57" i="5"/>
  <c r="W57" i="5"/>
  <c r="V57" i="5"/>
  <c r="M57" i="3" s="1"/>
  <c r="T57" i="5"/>
  <c r="U57" i="5" s="1"/>
  <c r="N57" i="3" s="1"/>
  <c r="S57" i="5"/>
  <c r="R57" i="5"/>
  <c r="M57" i="5"/>
  <c r="L57" i="5"/>
  <c r="K57" i="3" s="1"/>
  <c r="G57" i="5"/>
  <c r="G57" i="3" s="1"/>
  <c r="F57" i="5"/>
  <c r="F57" i="3" s="1"/>
  <c r="E57" i="5"/>
  <c r="E57" i="3" s="1"/>
  <c r="AF56" i="5"/>
  <c r="AE56" i="5"/>
  <c r="AD56" i="5"/>
  <c r="AC56" i="5"/>
  <c r="AA56" i="5"/>
  <c r="W56" i="5"/>
  <c r="V56" i="5"/>
  <c r="M56" i="3" s="1"/>
  <c r="T56" i="5"/>
  <c r="U56" i="5" s="1"/>
  <c r="N56" i="3" s="1"/>
  <c r="S56" i="5"/>
  <c r="R56" i="5"/>
  <c r="M56" i="5"/>
  <c r="L56" i="5"/>
  <c r="K56" i="3" s="1"/>
  <c r="G56" i="5"/>
  <c r="G56" i="3" s="1"/>
  <c r="F56" i="5"/>
  <c r="F56" i="3" s="1"/>
  <c r="E56" i="5"/>
  <c r="E56" i="3" s="1"/>
  <c r="AF55" i="5"/>
  <c r="AE55" i="5"/>
  <c r="AD55" i="5"/>
  <c r="AC55" i="5" s="1"/>
  <c r="AA55" i="5"/>
  <c r="W55" i="5"/>
  <c r="V55" i="5"/>
  <c r="M55" i="3" s="1"/>
  <c r="T55" i="5"/>
  <c r="U55" i="5" s="1"/>
  <c r="N55" i="3" s="1"/>
  <c r="S55" i="5"/>
  <c r="R55" i="5"/>
  <c r="M55" i="5"/>
  <c r="L55" i="5"/>
  <c r="K55" i="3" s="1"/>
  <c r="G55" i="5"/>
  <c r="G55" i="3" s="1"/>
  <c r="F55" i="5"/>
  <c r="F55" i="3" s="1"/>
  <c r="E55" i="5"/>
  <c r="E55" i="3" s="1"/>
  <c r="AF54" i="5"/>
  <c r="AE54" i="5"/>
  <c r="AD54" i="5"/>
  <c r="AC54" i="5"/>
  <c r="AA54" i="5"/>
  <c r="W54" i="5"/>
  <c r="V54" i="5"/>
  <c r="M54" i="3" s="1"/>
  <c r="U54" i="5"/>
  <c r="N54" i="3" s="1"/>
  <c r="T54" i="5"/>
  <c r="S54" i="5"/>
  <c r="R54" i="5"/>
  <c r="M54" i="5"/>
  <c r="L54" i="5"/>
  <c r="K54" i="3" s="1"/>
  <c r="G54" i="5"/>
  <c r="G54" i="3" s="1"/>
  <c r="F54" i="5"/>
  <c r="F54" i="3" s="1"/>
  <c r="E54" i="5"/>
  <c r="E54" i="3" s="1"/>
  <c r="AF53" i="5"/>
  <c r="AE53" i="5"/>
  <c r="AD53" i="5"/>
  <c r="AC53" i="5"/>
  <c r="AA53" i="5"/>
  <c r="W53" i="5"/>
  <c r="V53" i="5"/>
  <c r="M53" i="3" s="1"/>
  <c r="T53" i="5"/>
  <c r="U53" i="5" s="1"/>
  <c r="N53" i="3" s="1"/>
  <c r="S53" i="5"/>
  <c r="R53" i="5"/>
  <c r="M53" i="5"/>
  <c r="L53" i="5"/>
  <c r="K53" i="3" s="1"/>
  <c r="G53" i="5"/>
  <c r="G53" i="3" s="1"/>
  <c r="F53" i="5"/>
  <c r="F53" i="3" s="1"/>
  <c r="E53" i="5"/>
  <c r="E53" i="3" s="1"/>
  <c r="AF52" i="5"/>
  <c r="AE52" i="5"/>
  <c r="AD52" i="5"/>
  <c r="AC52" i="5" s="1"/>
  <c r="AA52" i="5"/>
  <c r="W52" i="5"/>
  <c r="V52" i="5"/>
  <c r="M52" i="3" s="1"/>
  <c r="U52" i="5"/>
  <c r="N52" i="3" s="1"/>
  <c r="T52" i="5"/>
  <c r="S52" i="5"/>
  <c r="R52" i="5"/>
  <c r="M52" i="5"/>
  <c r="L52" i="5"/>
  <c r="K52" i="3" s="1"/>
  <c r="G52" i="5"/>
  <c r="G52" i="3" s="1"/>
  <c r="F52" i="5"/>
  <c r="F52" i="3" s="1"/>
  <c r="E52" i="5"/>
  <c r="E52" i="3" s="1"/>
  <c r="AF51" i="5"/>
  <c r="AE51" i="5"/>
  <c r="AD51" i="5"/>
  <c r="AC51" i="5"/>
  <c r="AA51" i="5"/>
  <c r="W51" i="5"/>
  <c r="V51" i="5"/>
  <c r="M51" i="3" s="1"/>
  <c r="T51" i="5"/>
  <c r="U51" i="5" s="1"/>
  <c r="N51" i="3" s="1"/>
  <c r="S51" i="5"/>
  <c r="R51" i="5"/>
  <c r="M51" i="5"/>
  <c r="L51" i="5"/>
  <c r="K51" i="3" s="1"/>
  <c r="G51" i="5"/>
  <c r="G51" i="3" s="1"/>
  <c r="F51" i="5"/>
  <c r="F51" i="3" s="1"/>
  <c r="E51" i="5"/>
  <c r="E51" i="3" s="1"/>
  <c r="AF50" i="5"/>
  <c r="AE50" i="5"/>
  <c r="AD50" i="5"/>
  <c r="AC50" i="5"/>
  <c r="AA50" i="5"/>
  <c r="W50" i="5"/>
  <c r="V50" i="5"/>
  <c r="M50" i="3" s="1"/>
  <c r="T50" i="5"/>
  <c r="U50" i="5" s="1"/>
  <c r="N50" i="3" s="1"/>
  <c r="S50" i="5"/>
  <c r="R50" i="5"/>
  <c r="M50" i="5"/>
  <c r="L50" i="5"/>
  <c r="K50" i="3" s="1"/>
  <c r="G50" i="5"/>
  <c r="G50" i="3" s="1"/>
  <c r="F50" i="5"/>
  <c r="F50" i="3" s="1"/>
  <c r="E50" i="5"/>
  <c r="E50" i="3" s="1"/>
  <c r="AF49" i="5"/>
  <c r="AE49" i="5"/>
  <c r="AD49" i="5"/>
  <c r="AC49" i="5" s="1"/>
  <c r="AA49" i="5"/>
  <c r="W49" i="5"/>
  <c r="V49" i="5"/>
  <c r="M49" i="3" s="1"/>
  <c r="U49" i="5"/>
  <c r="N49" i="3" s="1"/>
  <c r="T49" i="5"/>
  <c r="S49" i="5"/>
  <c r="R49" i="5"/>
  <c r="M49" i="5"/>
  <c r="L49" i="5"/>
  <c r="K49" i="3" s="1"/>
  <c r="G49" i="5"/>
  <c r="G49" i="3" s="1"/>
  <c r="F49" i="5"/>
  <c r="F49" i="3" s="1"/>
  <c r="E49" i="5"/>
  <c r="E49" i="3" s="1"/>
  <c r="AF48" i="5"/>
  <c r="AE48" i="5"/>
  <c r="AD48" i="5"/>
  <c r="AC48" i="5"/>
  <c r="AA48" i="5"/>
  <c r="W48" i="5"/>
  <c r="V48" i="5"/>
  <c r="M48" i="3" s="1"/>
  <c r="T48" i="5"/>
  <c r="U48" i="5" s="1"/>
  <c r="N48" i="3" s="1"/>
  <c r="S48" i="5"/>
  <c r="R48" i="5"/>
  <c r="M48" i="5"/>
  <c r="L48" i="5"/>
  <c r="K48" i="3" s="1"/>
  <c r="G48" i="5"/>
  <c r="G48" i="3" s="1"/>
  <c r="F48" i="5"/>
  <c r="F48" i="3" s="1"/>
  <c r="E48" i="5"/>
  <c r="E48" i="3" s="1"/>
  <c r="AF47" i="5"/>
  <c r="AE47" i="5"/>
  <c r="AD47" i="5"/>
  <c r="AC47" i="5"/>
  <c r="AA47" i="5"/>
  <c r="W47" i="5"/>
  <c r="V47" i="5"/>
  <c r="M47" i="3" s="1"/>
  <c r="T47" i="5"/>
  <c r="U47" i="5" s="1"/>
  <c r="N47" i="3" s="1"/>
  <c r="S47" i="5"/>
  <c r="R47" i="5"/>
  <c r="M47" i="5"/>
  <c r="L47" i="5"/>
  <c r="K47" i="3" s="1"/>
  <c r="G47" i="5"/>
  <c r="G47" i="3" s="1"/>
  <c r="F47" i="5"/>
  <c r="F47" i="3" s="1"/>
  <c r="E47" i="5"/>
  <c r="E47" i="3" s="1"/>
  <c r="AF46" i="5"/>
  <c r="AE46" i="5"/>
  <c r="AD46" i="5"/>
  <c r="AC46" i="5" s="1"/>
  <c r="AA46" i="5"/>
  <c r="W46" i="5"/>
  <c r="V46" i="5"/>
  <c r="M46" i="3" s="1"/>
  <c r="T46" i="5"/>
  <c r="U46" i="5" s="1"/>
  <c r="N46" i="3" s="1"/>
  <c r="S46" i="5"/>
  <c r="R46" i="5"/>
  <c r="M46" i="5"/>
  <c r="L46" i="5"/>
  <c r="K46" i="3" s="1"/>
  <c r="G46" i="5"/>
  <c r="G46" i="3" s="1"/>
  <c r="F46" i="5"/>
  <c r="F46" i="3" s="1"/>
  <c r="E46" i="5"/>
  <c r="E46" i="3" s="1"/>
  <c r="AF45" i="5"/>
  <c r="AE45" i="5"/>
  <c r="AD45" i="5"/>
  <c r="AC45" i="5"/>
  <c r="AA45" i="5"/>
  <c r="W45" i="5"/>
  <c r="V45" i="5"/>
  <c r="M45" i="3" s="1"/>
  <c r="T45" i="5"/>
  <c r="U45" i="5" s="1"/>
  <c r="N45" i="3" s="1"/>
  <c r="S45" i="5"/>
  <c r="R45" i="5"/>
  <c r="M45" i="5"/>
  <c r="L45" i="5"/>
  <c r="K45" i="3" s="1"/>
  <c r="G45" i="5"/>
  <c r="G45" i="3" s="1"/>
  <c r="F45" i="5"/>
  <c r="F45" i="3" s="1"/>
  <c r="E45" i="5"/>
  <c r="E45" i="3" s="1"/>
  <c r="AF44" i="5"/>
  <c r="AE44" i="5"/>
  <c r="AD44" i="5"/>
  <c r="AC44" i="5"/>
  <c r="AA44" i="5"/>
  <c r="W44" i="5"/>
  <c r="V44" i="5"/>
  <c r="M44" i="3" s="1"/>
  <c r="T44" i="5"/>
  <c r="U44" i="5" s="1"/>
  <c r="N44" i="3" s="1"/>
  <c r="S44" i="5"/>
  <c r="R44" i="5"/>
  <c r="M44" i="5"/>
  <c r="L44" i="5"/>
  <c r="K44" i="3" s="1"/>
  <c r="G44" i="5"/>
  <c r="G44" i="3" s="1"/>
  <c r="F44" i="5"/>
  <c r="F44" i="3" s="1"/>
  <c r="E44" i="5"/>
  <c r="E44" i="3" s="1"/>
  <c r="AF43" i="5"/>
  <c r="AE43" i="5"/>
  <c r="AD43" i="5"/>
  <c r="AC43" i="5" s="1"/>
  <c r="AA43" i="5"/>
  <c r="W43" i="5"/>
  <c r="V43" i="5"/>
  <c r="M43" i="3" s="1"/>
  <c r="U43" i="5"/>
  <c r="N43" i="3" s="1"/>
  <c r="T43" i="5"/>
  <c r="S43" i="5"/>
  <c r="R43" i="5"/>
  <c r="M43" i="5"/>
  <c r="L43" i="5"/>
  <c r="K43" i="3" s="1"/>
  <c r="G43" i="5"/>
  <c r="G43" i="3" s="1"/>
  <c r="F43" i="5"/>
  <c r="F43" i="3" s="1"/>
  <c r="E43" i="5"/>
  <c r="E43" i="3" s="1"/>
  <c r="AF42" i="5"/>
  <c r="AE42" i="5"/>
  <c r="AD42" i="5"/>
  <c r="AC42" i="5"/>
  <c r="AA42" i="5"/>
  <c r="W42" i="5"/>
  <c r="V42" i="5"/>
  <c r="M42" i="3" s="1"/>
  <c r="T42" i="5"/>
  <c r="U42" i="5" s="1"/>
  <c r="N42" i="3" s="1"/>
  <c r="S42" i="5"/>
  <c r="R42" i="5"/>
  <c r="M42" i="5"/>
  <c r="L42" i="5"/>
  <c r="K42" i="3" s="1"/>
  <c r="G42" i="5"/>
  <c r="G42" i="3" s="1"/>
  <c r="F42" i="5"/>
  <c r="F42" i="3" s="1"/>
  <c r="E42" i="5"/>
  <c r="E42" i="3" s="1"/>
  <c r="AF41" i="5"/>
  <c r="AE41" i="5"/>
  <c r="AD41" i="5"/>
  <c r="AC41" i="5"/>
  <c r="AA41" i="5"/>
  <c r="W41" i="5"/>
  <c r="V41" i="5"/>
  <c r="M41" i="3" s="1"/>
  <c r="T41" i="5"/>
  <c r="U41" i="5" s="1"/>
  <c r="N41" i="3" s="1"/>
  <c r="S41" i="5"/>
  <c r="R41" i="5"/>
  <c r="M41" i="5"/>
  <c r="L41" i="5"/>
  <c r="K41" i="3" s="1"/>
  <c r="G41" i="5"/>
  <c r="G41" i="3" s="1"/>
  <c r="F41" i="5"/>
  <c r="F41" i="3" s="1"/>
  <c r="E41" i="5"/>
  <c r="E41" i="3" s="1"/>
  <c r="AF40" i="5"/>
  <c r="AE40" i="5"/>
  <c r="AD40" i="5"/>
  <c r="AC40" i="5" s="1"/>
  <c r="AA40" i="5"/>
  <c r="W40" i="5"/>
  <c r="V40" i="5"/>
  <c r="M40" i="3" s="1"/>
  <c r="U40" i="5"/>
  <c r="N40" i="3" s="1"/>
  <c r="T40" i="5"/>
  <c r="S40" i="5"/>
  <c r="R40" i="5"/>
  <c r="M40" i="5"/>
  <c r="L40" i="5"/>
  <c r="K40" i="3" s="1"/>
  <c r="G40" i="5"/>
  <c r="G40" i="3" s="1"/>
  <c r="F40" i="5"/>
  <c r="F40" i="3" s="1"/>
  <c r="E40" i="5"/>
  <c r="E40" i="3" s="1"/>
  <c r="AF39" i="5"/>
  <c r="AE39" i="5"/>
  <c r="AD39" i="5"/>
  <c r="AC39" i="5"/>
  <c r="AA39" i="5"/>
  <c r="W39" i="5"/>
  <c r="V39" i="5"/>
  <c r="M39" i="3" s="1"/>
  <c r="T39" i="5"/>
  <c r="U39" i="5" s="1"/>
  <c r="N39" i="3" s="1"/>
  <c r="S39" i="5"/>
  <c r="R39" i="5"/>
  <c r="M39" i="5"/>
  <c r="L39" i="5"/>
  <c r="K39" i="3" s="1"/>
  <c r="G39" i="5"/>
  <c r="G39" i="3" s="1"/>
  <c r="F39" i="5"/>
  <c r="F39" i="3" s="1"/>
  <c r="E39" i="5"/>
  <c r="E39" i="3" s="1"/>
  <c r="AF38" i="5"/>
  <c r="AE38" i="5"/>
  <c r="AD38" i="5"/>
  <c r="AC38" i="5"/>
  <c r="AA38" i="5"/>
  <c r="W38" i="5"/>
  <c r="V38" i="5"/>
  <c r="M38" i="3" s="1"/>
  <c r="T38" i="5"/>
  <c r="U38" i="5" s="1"/>
  <c r="N38" i="3" s="1"/>
  <c r="S38" i="5"/>
  <c r="R38" i="5"/>
  <c r="M38" i="5"/>
  <c r="L38" i="5"/>
  <c r="K38" i="3" s="1"/>
  <c r="G38" i="5"/>
  <c r="G38" i="3" s="1"/>
  <c r="F38" i="5"/>
  <c r="F38" i="3" s="1"/>
  <c r="E38" i="5"/>
  <c r="E38" i="3" s="1"/>
  <c r="AF37" i="5"/>
  <c r="AE37" i="5"/>
  <c r="AD37" i="5"/>
  <c r="AC37" i="5" s="1"/>
  <c r="AA37" i="5"/>
  <c r="W37" i="5"/>
  <c r="V37" i="5"/>
  <c r="M37" i="3" s="1"/>
  <c r="U37" i="5"/>
  <c r="N37" i="3" s="1"/>
  <c r="T37" i="5"/>
  <c r="S37" i="5"/>
  <c r="R37" i="5"/>
  <c r="M37" i="5"/>
  <c r="L37" i="5"/>
  <c r="K37" i="3" s="1"/>
  <c r="G37" i="5"/>
  <c r="G37" i="3" s="1"/>
  <c r="F37" i="5"/>
  <c r="F37" i="3" s="1"/>
  <c r="E37" i="5"/>
  <c r="E37" i="3" s="1"/>
  <c r="AF36" i="5"/>
  <c r="AE36" i="5"/>
  <c r="AD36" i="5"/>
  <c r="AC36" i="5"/>
  <c r="AA36" i="5"/>
  <c r="W36" i="5"/>
  <c r="V36" i="5"/>
  <c r="M36" i="3" s="1"/>
  <c r="T36" i="5"/>
  <c r="U36" i="5" s="1"/>
  <c r="N36" i="3" s="1"/>
  <c r="S36" i="5"/>
  <c r="R36" i="5"/>
  <c r="M36" i="5"/>
  <c r="L36" i="5"/>
  <c r="K36" i="3" s="1"/>
  <c r="G36" i="5"/>
  <c r="G36" i="3" s="1"/>
  <c r="F36" i="5"/>
  <c r="F36" i="3" s="1"/>
  <c r="E36" i="5"/>
  <c r="E36" i="3" s="1"/>
  <c r="AF35" i="5"/>
  <c r="AE35" i="5"/>
  <c r="AD35" i="5"/>
  <c r="AC35" i="5"/>
  <c r="AA35" i="5"/>
  <c r="W35" i="5"/>
  <c r="V35" i="5"/>
  <c r="M35" i="3" s="1"/>
  <c r="T35" i="5"/>
  <c r="U35" i="5" s="1"/>
  <c r="N35" i="3" s="1"/>
  <c r="S35" i="5"/>
  <c r="R35" i="5"/>
  <c r="M35" i="5"/>
  <c r="L35" i="5"/>
  <c r="K35" i="3" s="1"/>
  <c r="G35" i="5"/>
  <c r="G35" i="3" s="1"/>
  <c r="F35" i="5"/>
  <c r="F35" i="3" s="1"/>
  <c r="E35" i="5"/>
  <c r="E35" i="3" s="1"/>
  <c r="AF34" i="5"/>
  <c r="AE34" i="5"/>
  <c r="AD34" i="5"/>
  <c r="AC34" i="5" s="1"/>
  <c r="AA34" i="5"/>
  <c r="W34" i="5"/>
  <c r="V34" i="5"/>
  <c r="M34" i="3" s="1"/>
  <c r="U34" i="5"/>
  <c r="N34" i="3" s="1"/>
  <c r="T34" i="5"/>
  <c r="S34" i="5"/>
  <c r="R34" i="5"/>
  <c r="M34" i="5"/>
  <c r="L34" i="5"/>
  <c r="K34" i="3" s="1"/>
  <c r="G34" i="5"/>
  <c r="G34" i="3" s="1"/>
  <c r="F34" i="5"/>
  <c r="F34" i="3" s="1"/>
  <c r="E34" i="5"/>
  <c r="E34" i="3" s="1"/>
  <c r="AF33" i="5"/>
  <c r="AE33" i="5"/>
  <c r="AD33" i="5"/>
  <c r="AC33" i="5"/>
  <c r="AA33" i="5"/>
  <c r="W33" i="5"/>
  <c r="V33" i="5"/>
  <c r="M33" i="3" s="1"/>
  <c r="T33" i="5"/>
  <c r="U33" i="5" s="1"/>
  <c r="N33" i="3" s="1"/>
  <c r="S33" i="5"/>
  <c r="R33" i="5"/>
  <c r="M33" i="5"/>
  <c r="L33" i="5"/>
  <c r="K33" i="3" s="1"/>
  <c r="G33" i="5"/>
  <c r="G33" i="3" s="1"/>
  <c r="F33" i="5"/>
  <c r="F33" i="3" s="1"/>
  <c r="E33" i="5"/>
  <c r="E33" i="3" s="1"/>
  <c r="AF32" i="5"/>
  <c r="AE32" i="5"/>
  <c r="AD32" i="5"/>
  <c r="AC32" i="5"/>
  <c r="AA32" i="5"/>
  <c r="W32" i="5"/>
  <c r="V32" i="5"/>
  <c r="M32" i="3" s="1"/>
  <c r="T32" i="5"/>
  <c r="U32" i="5" s="1"/>
  <c r="N32" i="3" s="1"/>
  <c r="S32" i="5"/>
  <c r="R32" i="5"/>
  <c r="M32" i="5"/>
  <c r="L32" i="5"/>
  <c r="K32" i="3" s="1"/>
  <c r="G32" i="5"/>
  <c r="G32" i="3" s="1"/>
  <c r="F32" i="5"/>
  <c r="F32" i="3" s="1"/>
  <c r="E32" i="5"/>
  <c r="E32" i="3" s="1"/>
  <c r="AF31" i="5"/>
  <c r="AE31" i="5"/>
  <c r="AD31" i="5"/>
  <c r="AC31" i="5" s="1"/>
  <c r="AA31" i="5"/>
  <c r="W31" i="5"/>
  <c r="V31" i="5"/>
  <c r="M31" i="3" s="1"/>
  <c r="U31" i="5"/>
  <c r="N31" i="3" s="1"/>
  <c r="T31" i="5"/>
  <c r="S31" i="5"/>
  <c r="R31" i="5"/>
  <c r="M31" i="5"/>
  <c r="L31" i="5"/>
  <c r="K31" i="3" s="1"/>
  <c r="G31" i="5"/>
  <c r="G31" i="3" s="1"/>
  <c r="F31" i="5"/>
  <c r="F31" i="3" s="1"/>
  <c r="E31" i="5"/>
  <c r="E31" i="3" s="1"/>
  <c r="AF30" i="5"/>
  <c r="AE30" i="5"/>
  <c r="AD30" i="5"/>
  <c r="AC30" i="5"/>
  <c r="AA30" i="5"/>
  <c r="W30" i="5"/>
  <c r="V30" i="5"/>
  <c r="M30" i="3" s="1"/>
  <c r="T30" i="5"/>
  <c r="U30" i="5" s="1"/>
  <c r="N30" i="3" s="1"/>
  <c r="S30" i="5"/>
  <c r="R30" i="5"/>
  <c r="M30" i="5"/>
  <c r="L30" i="5"/>
  <c r="K30" i="3" s="1"/>
  <c r="G30" i="5"/>
  <c r="G30" i="3" s="1"/>
  <c r="F30" i="5"/>
  <c r="F30" i="3" s="1"/>
  <c r="E30" i="5"/>
  <c r="E30" i="3" s="1"/>
  <c r="AF29" i="5"/>
  <c r="AE29" i="5"/>
  <c r="AD29" i="5"/>
  <c r="AC29" i="5"/>
  <c r="AA29" i="5"/>
  <c r="W29" i="5"/>
  <c r="V29" i="5"/>
  <c r="M29" i="3" s="1"/>
  <c r="T29" i="5"/>
  <c r="U29" i="5" s="1"/>
  <c r="N29" i="3" s="1"/>
  <c r="S29" i="5"/>
  <c r="R29" i="5"/>
  <c r="M29" i="5"/>
  <c r="L29" i="5"/>
  <c r="K29" i="3" s="1"/>
  <c r="G29" i="5"/>
  <c r="G29" i="3" s="1"/>
  <c r="F29" i="5"/>
  <c r="F29" i="3" s="1"/>
  <c r="E29" i="5"/>
  <c r="E29" i="3" s="1"/>
  <c r="AF28" i="5"/>
  <c r="AE28" i="5"/>
  <c r="AD28" i="5"/>
  <c r="AC28" i="5" s="1"/>
  <c r="AA28" i="5"/>
  <c r="W28" i="5"/>
  <c r="V28" i="5"/>
  <c r="M28" i="3" s="1"/>
  <c r="U28" i="5"/>
  <c r="N28" i="3" s="1"/>
  <c r="T28" i="5"/>
  <c r="S28" i="5"/>
  <c r="R28" i="5"/>
  <c r="M28" i="5"/>
  <c r="L28" i="5"/>
  <c r="K28" i="3" s="1"/>
  <c r="G28" i="5"/>
  <c r="G28" i="3" s="1"/>
  <c r="F28" i="5"/>
  <c r="F28" i="3" s="1"/>
  <c r="E28" i="5"/>
  <c r="E28" i="3" s="1"/>
  <c r="AF27" i="5"/>
  <c r="AE27" i="5"/>
  <c r="AD27" i="5"/>
  <c r="AC27" i="5"/>
  <c r="AA27" i="5"/>
  <c r="W27" i="5"/>
  <c r="V27" i="5"/>
  <c r="M27" i="3" s="1"/>
  <c r="T27" i="5"/>
  <c r="U27" i="5" s="1"/>
  <c r="N27" i="3" s="1"/>
  <c r="S27" i="5"/>
  <c r="R27" i="5"/>
  <c r="M27" i="5"/>
  <c r="L27" i="5"/>
  <c r="K27" i="3" s="1"/>
  <c r="G27" i="5"/>
  <c r="G27" i="3" s="1"/>
  <c r="F27" i="5"/>
  <c r="F27" i="3" s="1"/>
  <c r="E27" i="5"/>
  <c r="E27" i="3" s="1"/>
  <c r="AF26" i="5"/>
  <c r="AE26" i="5"/>
  <c r="AD26" i="5"/>
  <c r="AC26" i="5"/>
  <c r="AA26" i="5"/>
  <c r="W26" i="5"/>
  <c r="V26" i="5"/>
  <c r="M26" i="3" s="1"/>
  <c r="T26" i="5"/>
  <c r="U26" i="5" s="1"/>
  <c r="N26" i="3" s="1"/>
  <c r="S26" i="5"/>
  <c r="R26" i="5"/>
  <c r="M26" i="5"/>
  <c r="L26" i="5"/>
  <c r="K26" i="3" s="1"/>
  <c r="G26" i="5"/>
  <c r="G26" i="3" s="1"/>
  <c r="F26" i="5"/>
  <c r="F26" i="3" s="1"/>
  <c r="E26" i="5"/>
  <c r="E26" i="3" s="1"/>
  <c r="AF25" i="5"/>
  <c r="AE25" i="5"/>
  <c r="AD25" i="5"/>
  <c r="AC25" i="5" s="1"/>
  <c r="AA25" i="5"/>
  <c r="W25" i="5"/>
  <c r="V25" i="5"/>
  <c r="M25" i="3" s="1"/>
  <c r="T25" i="5"/>
  <c r="U25" i="5" s="1"/>
  <c r="N25" i="3" s="1"/>
  <c r="S25" i="5"/>
  <c r="R25" i="5"/>
  <c r="M25" i="5"/>
  <c r="L25" i="5"/>
  <c r="K25" i="3" s="1"/>
  <c r="G25" i="5"/>
  <c r="G25" i="3" s="1"/>
  <c r="F25" i="5"/>
  <c r="F25" i="3" s="1"/>
  <c r="E25" i="5"/>
  <c r="E25" i="3" s="1"/>
  <c r="AF24" i="5"/>
  <c r="AE24" i="5"/>
  <c r="AD24" i="5"/>
  <c r="AC24" i="5"/>
  <c r="AA24" i="5"/>
  <c r="W24" i="5"/>
  <c r="V24" i="5"/>
  <c r="M24" i="3" s="1"/>
  <c r="T24" i="5"/>
  <c r="U24" i="5" s="1"/>
  <c r="N24" i="3" s="1"/>
  <c r="S24" i="5"/>
  <c r="R24" i="5"/>
  <c r="M24" i="5"/>
  <c r="L24" i="5"/>
  <c r="K24" i="3" s="1"/>
  <c r="G24" i="5"/>
  <c r="G24" i="3" s="1"/>
  <c r="F24" i="5"/>
  <c r="F24" i="3" s="1"/>
  <c r="E24" i="5"/>
  <c r="E24" i="3" s="1"/>
  <c r="AF23" i="5"/>
  <c r="AE23" i="5"/>
  <c r="AD23" i="5"/>
  <c r="AC23" i="5"/>
  <c r="AA23" i="5"/>
  <c r="W23" i="5"/>
  <c r="V23" i="5"/>
  <c r="M23" i="3" s="1"/>
  <c r="T23" i="5"/>
  <c r="U23" i="5" s="1"/>
  <c r="N23" i="3" s="1"/>
  <c r="S23" i="5"/>
  <c r="R23" i="5"/>
  <c r="M23" i="5"/>
  <c r="L23" i="5"/>
  <c r="K23" i="3" s="1"/>
  <c r="G23" i="5"/>
  <c r="G23" i="3" s="1"/>
  <c r="F23" i="5"/>
  <c r="F23" i="3" s="1"/>
  <c r="E23" i="5"/>
  <c r="E23" i="3" s="1"/>
  <c r="AF22" i="5"/>
  <c r="AE22" i="5"/>
  <c r="AD22" i="5"/>
  <c r="AC22" i="5" s="1"/>
  <c r="AA22" i="5"/>
  <c r="W22" i="5"/>
  <c r="V22" i="5"/>
  <c r="M22" i="3" s="1"/>
  <c r="T22" i="5"/>
  <c r="U22" i="5" s="1"/>
  <c r="N22" i="3" s="1"/>
  <c r="S22" i="5"/>
  <c r="R22" i="5"/>
  <c r="M22" i="5"/>
  <c r="L22" i="5"/>
  <c r="K22" i="3" s="1"/>
  <c r="G22" i="5"/>
  <c r="G22" i="3" s="1"/>
  <c r="F22" i="5"/>
  <c r="F22" i="3" s="1"/>
  <c r="E22" i="5"/>
  <c r="E22" i="3" s="1"/>
  <c r="AF21" i="5"/>
  <c r="AC21" i="5" s="1"/>
  <c r="AE21" i="5"/>
  <c r="AD21" i="5"/>
  <c r="AA21" i="5"/>
  <c r="W21" i="5"/>
  <c r="V21" i="5"/>
  <c r="M21" i="3" s="1"/>
  <c r="T21" i="5"/>
  <c r="U21" i="5" s="1"/>
  <c r="N21" i="3" s="1"/>
  <c r="S21" i="5"/>
  <c r="R21" i="5"/>
  <c r="M21" i="5"/>
  <c r="L21" i="5"/>
  <c r="K21" i="3" s="1"/>
  <c r="G21" i="5"/>
  <c r="G21" i="3" s="1"/>
  <c r="F21" i="5"/>
  <c r="F21" i="3" s="1"/>
  <c r="E21" i="5"/>
  <c r="E21" i="3" s="1"/>
  <c r="AF20" i="5"/>
  <c r="AE20" i="5"/>
  <c r="AD20" i="5"/>
  <c r="AC20" i="5"/>
  <c r="AA20" i="5"/>
  <c r="W20" i="5"/>
  <c r="V20" i="5"/>
  <c r="M20" i="3" s="1"/>
  <c r="T20" i="5"/>
  <c r="U20" i="5" s="1"/>
  <c r="N20" i="3" s="1"/>
  <c r="S20" i="5"/>
  <c r="R20" i="5"/>
  <c r="M20" i="5"/>
  <c r="L20" i="5"/>
  <c r="K20" i="3" s="1"/>
  <c r="G20" i="5"/>
  <c r="G20" i="3" s="1"/>
  <c r="F20" i="5"/>
  <c r="F20" i="3" s="1"/>
  <c r="E20" i="5"/>
  <c r="E20" i="3" s="1"/>
  <c r="AF19" i="5"/>
  <c r="AE19" i="5"/>
  <c r="AD19" i="5"/>
  <c r="AC19" i="5" s="1"/>
  <c r="AA19" i="5"/>
  <c r="W19" i="5"/>
  <c r="V19" i="5"/>
  <c r="M19" i="3" s="1"/>
  <c r="T19" i="5"/>
  <c r="U19" i="5" s="1"/>
  <c r="N19" i="3" s="1"/>
  <c r="S19" i="5"/>
  <c r="R19" i="5"/>
  <c r="M19" i="5"/>
  <c r="L19" i="5"/>
  <c r="K19" i="3" s="1"/>
  <c r="G19" i="5"/>
  <c r="G19" i="3" s="1"/>
  <c r="F19" i="5"/>
  <c r="F19" i="3" s="1"/>
  <c r="E19" i="5"/>
  <c r="E19" i="3" s="1"/>
  <c r="AF18" i="5"/>
  <c r="AC18" i="5" s="1"/>
  <c r="AE18" i="5"/>
  <c r="AD18" i="5"/>
  <c r="AA18" i="5"/>
  <c r="W18" i="5"/>
  <c r="V18" i="5"/>
  <c r="M18" i="3" s="1"/>
  <c r="T18" i="5"/>
  <c r="U18" i="5" s="1"/>
  <c r="N18" i="3" s="1"/>
  <c r="S18" i="5"/>
  <c r="R18" i="5"/>
  <c r="M18" i="5"/>
  <c r="L18" i="5"/>
  <c r="K18" i="3" s="1"/>
  <c r="G18" i="5"/>
  <c r="G18" i="3" s="1"/>
  <c r="F18" i="5"/>
  <c r="F18" i="3" s="1"/>
  <c r="E18" i="5"/>
  <c r="E18" i="3" s="1"/>
  <c r="AF17" i="5"/>
  <c r="AE17" i="5"/>
  <c r="AD17" i="5"/>
  <c r="AC17" i="5"/>
  <c r="AA17" i="5"/>
  <c r="W17" i="5"/>
  <c r="V17" i="5"/>
  <c r="M17" i="3" s="1"/>
  <c r="T17" i="5"/>
  <c r="U17" i="5" s="1"/>
  <c r="N17" i="3" s="1"/>
  <c r="S17" i="5"/>
  <c r="R17" i="5"/>
  <c r="M17" i="5"/>
  <c r="L17" i="5"/>
  <c r="K17" i="3" s="1"/>
  <c r="G17" i="5"/>
  <c r="G17" i="3" s="1"/>
  <c r="F17" i="5"/>
  <c r="F17" i="3" s="1"/>
  <c r="E17" i="5"/>
  <c r="E17" i="3" s="1"/>
  <c r="AF16" i="5"/>
  <c r="AE16" i="5"/>
  <c r="AD16" i="5"/>
  <c r="AC16" i="5" s="1"/>
  <c r="AA16" i="5"/>
  <c r="W16" i="5"/>
  <c r="V16" i="5"/>
  <c r="M16" i="3" s="1"/>
  <c r="T16" i="5"/>
  <c r="U16" i="5" s="1"/>
  <c r="N16" i="3" s="1"/>
  <c r="S16" i="5"/>
  <c r="R16" i="5"/>
  <c r="M16" i="5"/>
  <c r="L16" i="5"/>
  <c r="K16" i="3" s="1"/>
  <c r="G16" i="5"/>
  <c r="G16" i="3" s="1"/>
  <c r="F16" i="5"/>
  <c r="F16" i="3" s="1"/>
  <c r="E16" i="5"/>
  <c r="E16" i="3" s="1"/>
  <c r="AF15" i="5"/>
  <c r="AC15" i="5" s="1"/>
  <c r="AE15" i="5"/>
  <c r="AD15" i="5"/>
  <c r="AA15" i="5"/>
  <c r="W15" i="5"/>
  <c r="V15" i="5"/>
  <c r="M15" i="3" s="1"/>
  <c r="T15" i="5"/>
  <c r="U15" i="5" s="1"/>
  <c r="N15" i="3" s="1"/>
  <c r="S15" i="5"/>
  <c r="R15" i="5"/>
  <c r="M15" i="5"/>
  <c r="L15" i="5"/>
  <c r="K15" i="3" s="1"/>
  <c r="G15" i="5"/>
  <c r="G15" i="3" s="1"/>
  <c r="F15" i="5"/>
  <c r="F15" i="3" s="1"/>
  <c r="E15" i="5"/>
  <c r="E15" i="3" s="1"/>
  <c r="AF14" i="5"/>
  <c r="AE14" i="5"/>
  <c r="AD14" i="5"/>
  <c r="AC14" i="5"/>
  <c r="AA14" i="5"/>
  <c r="W14" i="5"/>
  <c r="V14" i="5"/>
  <c r="M14" i="3" s="1"/>
  <c r="T14" i="5"/>
  <c r="U14" i="5" s="1"/>
  <c r="N14" i="3" s="1"/>
  <c r="S14" i="5"/>
  <c r="R14" i="5"/>
  <c r="M14" i="5"/>
  <c r="L14" i="5"/>
  <c r="K14" i="3" s="1"/>
  <c r="G14" i="5"/>
  <c r="G14" i="3" s="1"/>
  <c r="F14" i="5"/>
  <c r="F14" i="3" s="1"/>
  <c r="E14" i="5"/>
  <c r="E14" i="3" s="1"/>
  <c r="AF13" i="5"/>
  <c r="AE13" i="5"/>
  <c r="AD13" i="5"/>
  <c r="AC13" i="5" s="1"/>
  <c r="AA13" i="5"/>
  <c r="W13" i="5"/>
  <c r="V13" i="5"/>
  <c r="M13" i="3" s="1"/>
  <c r="T13" i="5"/>
  <c r="U13" i="5" s="1"/>
  <c r="N13" i="3" s="1"/>
  <c r="S13" i="5"/>
  <c r="R13" i="5"/>
  <c r="M13" i="5"/>
  <c r="L13" i="5"/>
  <c r="K13" i="3" s="1"/>
  <c r="G13" i="5"/>
  <c r="G13" i="3" s="1"/>
  <c r="F13" i="5"/>
  <c r="F13" i="3" s="1"/>
  <c r="E13" i="5"/>
  <c r="E13" i="3" s="1"/>
  <c r="AF12" i="5"/>
  <c r="AC12" i="5" s="1"/>
  <c r="AE12" i="5"/>
  <c r="AD12" i="5"/>
  <c r="AA12" i="5"/>
  <c r="W12" i="5"/>
  <c r="V12" i="5"/>
  <c r="M12" i="3" s="1"/>
  <c r="T12" i="5"/>
  <c r="S12" i="5"/>
  <c r="R12" i="5"/>
  <c r="M12" i="5"/>
  <c r="L12" i="5"/>
  <c r="K12" i="3" s="1"/>
  <c r="G12" i="5"/>
  <c r="G12" i="3" s="1"/>
  <c r="F12" i="5"/>
  <c r="F12" i="3" s="1"/>
  <c r="E12" i="5"/>
  <c r="E12" i="3" s="1"/>
  <c r="AC11" i="5"/>
  <c r="W11" i="5"/>
  <c r="V11" i="5"/>
  <c r="U11" i="5"/>
  <c r="T11" i="5"/>
  <c r="S11" i="5"/>
  <c r="R11" i="5"/>
  <c r="Q11" i="5"/>
  <c r="P11" i="5"/>
  <c r="O11" i="5"/>
  <c r="N11" i="5"/>
  <c r="M11" i="5"/>
  <c r="L11" i="5"/>
  <c r="K11" i="5"/>
  <c r="J11" i="5"/>
  <c r="I11" i="5"/>
  <c r="H11" i="5"/>
  <c r="G11" i="5"/>
  <c r="F11" i="5"/>
  <c r="E11" i="5"/>
  <c r="D11" i="5"/>
  <c r="R9" i="5"/>
  <c r="D9" i="5"/>
  <c r="R8" i="5"/>
  <c r="U7" i="5"/>
  <c r="R7" i="5"/>
  <c r="D7" i="5"/>
  <c r="U6" i="5"/>
  <c r="R6" i="5"/>
  <c r="U5" i="5"/>
  <c r="R5" i="5"/>
  <c r="R4" i="5"/>
  <c r="D4" i="5"/>
  <c r="Z90" i="5" l="1"/>
  <c r="J105" i="5"/>
  <c r="J105" i="3" s="1"/>
  <c r="Z96" i="5"/>
  <c r="J102" i="5"/>
  <c r="Z89" i="5"/>
  <c r="I103" i="3"/>
  <c r="AD103" i="5"/>
  <c r="I108" i="5"/>
  <c r="Z100" i="5"/>
  <c r="Z109" i="5"/>
  <c r="J112" i="5"/>
  <c r="I102" i="5"/>
  <c r="Z87" i="5"/>
  <c r="J106" i="5"/>
  <c r="Z99" i="5"/>
  <c r="AC79" i="5"/>
  <c r="I106" i="5"/>
  <c r="Z97" i="5"/>
  <c r="J111" i="5"/>
  <c r="Z107" i="5"/>
  <c r="J104" i="5"/>
  <c r="Z95" i="5"/>
  <c r="Z94" i="5"/>
  <c r="I104" i="5"/>
  <c r="I107" i="3"/>
  <c r="AD107" i="5"/>
  <c r="Z105" i="5"/>
  <c r="J109" i="5"/>
  <c r="AC70" i="5"/>
  <c r="Z103" i="5"/>
  <c r="J110" i="5"/>
  <c r="Z92" i="5"/>
  <c r="I105" i="5"/>
  <c r="Z91" i="5"/>
  <c r="J103" i="5"/>
  <c r="J108" i="5"/>
  <c r="Z101" i="5"/>
  <c r="I110" i="3"/>
  <c r="AD110" i="5"/>
  <c r="AD109" i="5"/>
  <c r="N20" i="6"/>
  <c r="I20" i="6"/>
  <c r="Z115" i="5"/>
  <c r="U89" i="5"/>
  <c r="N88" i="3" s="1"/>
  <c r="U92" i="5"/>
  <c r="N93" i="3" s="1"/>
  <c r="U99" i="5"/>
  <c r="N97" i="3" s="1"/>
  <c r="Z102" i="5"/>
  <c r="Y108" i="5"/>
  <c r="U108" i="5"/>
  <c r="N108" i="3" s="1"/>
  <c r="U85" i="5"/>
  <c r="N86" i="3" s="1"/>
  <c r="J100" i="5"/>
  <c r="AE105" i="5"/>
  <c r="J107" i="5"/>
  <c r="U95" i="5"/>
  <c r="N94" i="3" s="1"/>
  <c r="U101" i="5"/>
  <c r="N101" i="3" s="1"/>
  <c r="Z104" i="5"/>
  <c r="U111" i="5"/>
  <c r="N111" i="3" s="1"/>
  <c r="J113" i="5"/>
  <c r="Z43" i="4"/>
  <c r="J43" i="4"/>
  <c r="M42" i="4"/>
  <c r="AJ41" i="4"/>
  <c r="AM40" i="4"/>
  <c r="W40" i="4"/>
  <c r="AJ34" i="4"/>
  <c r="AM33" i="4"/>
  <c r="W33" i="4"/>
  <c r="Z32" i="4"/>
  <c r="J32" i="4"/>
  <c r="M31" i="4"/>
  <c r="Z25" i="4"/>
  <c r="J25" i="4"/>
  <c r="M24" i="4"/>
  <c r="AJ23" i="4"/>
  <c r="AM22" i="4"/>
  <c r="W22" i="4"/>
  <c r="AJ16" i="4"/>
  <c r="Z15" i="4"/>
  <c r="J15" i="4"/>
  <c r="Y43" i="4"/>
  <c r="AA43" i="4" s="1"/>
  <c r="I43" i="4"/>
  <c r="O43" i="4" s="1"/>
  <c r="L42" i="4"/>
  <c r="N42" i="4" s="1"/>
  <c r="AI41" i="4"/>
  <c r="AL40" i="4"/>
  <c r="V40" i="4"/>
  <c r="AB40" i="4" s="1"/>
  <c r="AI34" i="4"/>
  <c r="AL33" i="4"/>
  <c r="AN33" i="4" s="1"/>
  <c r="V33" i="4"/>
  <c r="Y32" i="4"/>
  <c r="I32" i="4"/>
  <c r="L31" i="4"/>
  <c r="N31" i="4" s="1"/>
  <c r="Y25" i="4"/>
  <c r="I25" i="4"/>
  <c r="O25" i="4" s="1"/>
  <c r="L24" i="4"/>
  <c r="N24" i="4" s="1"/>
  <c r="AI23" i="4"/>
  <c r="AL22" i="4"/>
  <c r="V22" i="4"/>
  <c r="AB22" i="4" s="1"/>
  <c r="AI16" i="4"/>
  <c r="Y15" i="4"/>
  <c r="AA15" i="4" s="1"/>
  <c r="I15" i="4"/>
  <c r="X43" i="4"/>
  <c r="H43" i="4"/>
  <c r="K42" i="4"/>
  <c r="AM43" i="4"/>
  <c r="W43" i="4"/>
  <c r="Z42" i="4"/>
  <c r="J42" i="4"/>
  <c r="M41" i="4"/>
  <c r="AJ40" i="4"/>
  <c r="M34" i="4"/>
  <c r="AJ33" i="4"/>
  <c r="AM32" i="4"/>
  <c r="W32" i="4"/>
  <c r="Z31" i="4"/>
  <c r="J31" i="4"/>
  <c r="AM25" i="4"/>
  <c r="W25" i="4"/>
  <c r="Z24" i="4"/>
  <c r="J24" i="4"/>
  <c r="AL43" i="4"/>
  <c r="V43" i="4"/>
  <c r="Y42" i="4"/>
  <c r="I42" i="4"/>
  <c r="O42" i="4" s="1"/>
  <c r="L41" i="4"/>
  <c r="AI40" i="4"/>
  <c r="L34" i="4"/>
  <c r="AI33" i="4"/>
  <c r="AL32" i="4"/>
  <c r="AN32" i="4" s="1"/>
  <c r="V32" i="4"/>
  <c r="Y31" i="4"/>
  <c r="I31" i="4"/>
  <c r="AL25" i="4"/>
  <c r="V25" i="4"/>
  <c r="Y24" i="4"/>
  <c r="I24" i="4"/>
  <c r="O24" i="4" s="1"/>
  <c r="AK43" i="4"/>
  <c r="U43" i="4"/>
  <c r="X42" i="4"/>
  <c r="H42" i="4"/>
  <c r="K41" i="4"/>
  <c r="AH40" i="4"/>
  <c r="K34" i="4"/>
  <c r="AH33" i="4"/>
  <c r="AK32" i="4"/>
  <c r="U32" i="4"/>
  <c r="X31" i="4"/>
  <c r="H31" i="4"/>
  <c r="AK25" i="4"/>
  <c r="U25" i="4"/>
  <c r="X24" i="4"/>
  <c r="H24" i="4"/>
  <c r="K23" i="4"/>
  <c r="AH22" i="4"/>
  <c r="K16" i="4"/>
  <c r="AK15" i="4"/>
  <c r="AJ43" i="4"/>
  <c r="AM42" i="4"/>
  <c r="W42" i="4"/>
  <c r="Z41" i="4"/>
  <c r="J41" i="4"/>
  <c r="M40" i="4"/>
  <c r="Z34" i="4"/>
  <c r="J34" i="4"/>
  <c r="M33" i="4"/>
  <c r="AJ32" i="4"/>
  <c r="AM31" i="4"/>
  <c r="W31" i="4"/>
  <c r="AJ25" i="4"/>
  <c r="AM24" i="4"/>
  <c r="W24" i="4"/>
  <c r="Z23" i="4"/>
  <c r="J23" i="4"/>
  <c r="M22" i="4"/>
  <c r="Z16" i="4"/>
  <c r="J16" i="4"/>
  <c r="AI43" i="4"/>
  <c r="AL42" i="4"/>
  <c r="V42" i="4"/>
  <c r="Y41" i="4"/>
  <c r="I41" i="4"/>
  <c r="L40" i="4"/>
  <c r="N40" i="4" s="1"/>
  <c r="Y34" i="4"/>
  <c r="I34" i="4"/>
  <c r="L33" i="4"/>
  <c r="AI32" i="4"/>
  <c r="AL31" i="4"/>
  <c r="V31" i="4"/>
  <c r="AI25" i="4"/>
  <c r="AL24" i="4"/>
  <c r="V24" i="4"/>
  <c r="Y23" i="4"/>
  <c r="I23" i="4"/>
  <c r="L22" i="4"/>
  <c r="N22" i="4" s="1"/>
  <c r="Y16" i="4"/>
  <c r="I16" i="4"/>
  <c r="AI15" i="4"/>
  <c r="Y14" i="4"/>
  <c r="I14" i="4"/>
  <c r="AI13" i="4"/>
  <c r="AH43" i="4"/>
  <c r="AK42" i="4"/>
  <c r="U42" i="4"/>
  <c r="X41" i="4"/>
  <c r="H41" i="4"/>
  <c r="K40" i="4"/>
  <c r="X34" i="4"/>
  <c r="H34" i="4"/>
  <c r="K33" i="4"/>
  <c r="AH32" i="4"/>
  <c r="AK31" i="4"/>
  <c r="U31" i="4"/>
  <c r="AH25" i="4"/>
  <c r="AK24" i="4"/>
  <c r="U24" i="4"/>
  <c r="X23" i="4"/>
  <c r="H23" i="4"/>
  <c r="K22" i="4"/>
  <c r="X16" i="4"/>
  <c r="H16" i="4"/>
  <c r="AH15" i="4"/>
  <c r="X14" i="4"/>
  <c r="M43" i="4"/>
  <c r="AJ42" i="4"/>
  <c r="AM41" i="4"/>
  <c r="W41" i="4"/>
  <c r="Z40" i="4"/>
  <c r="J40" i="4"/>
  <c r="AM34" i="4"/>
  <c r="W34" i="4"/>
  <c r="Z33" i="4"/>
  <c r="J33" i="4"/>
  <c r="M32" i="4"/>
  <c r="AJ31" i="4"/>
  <c r="M25" i="4"/>
  <c r="AJ24" i="4"/>
  <c r="AM23" i="4"/>
  <c r="W23" i="4"/>
  <c r="Z22" i="4"/>
  <c r="J22" i="4"/>
  <c r="AM16" i="4"/>
  <c r="W16" i="4"/>
  <c r="M15" i="4"/>
  <c r="L43" i="4"/>
  <c r="N43" i="4" s="1"/>
  <c r="AI42" i="4"/>
  <c r="AL41" i="4"/>
  <c r="V41" i="4"/>
  <c r="Y40" i="4"/>
  <c r="I40" i="4"/>
  <c r="AL34" i="4"/>
  <c r="V34" i="4"/>
  <c r="Y33" i="4"/>
  <c r="I33" i="4"/>
  <c r="L32" i="4"/>
  <c r="N32" i="4" s="1"/>
  <c r="AI31" i="4"/>
  <c r="L25" i="4"/>
  <c r="N25" i="4" s="1"/>
  <c r="AI24" i="4"/>
  <c r="AL23" i="4"/>
  <c r="V23" i="4"/>
  <c r="Y22" i="4"/>
  <c r="I22" i="4"/>
  <c r="AL16" i="4"/>
  <c r="V16" i="4"/>
  <c r="L15" i="4"/>
  <c r="AL14" i="4"/>
  <c r="V14" i="4"/>
  <c r="L13" i="4"/>
  <c r="K43" i="4"/>
  <c r="AH42" i="4"/>
  <c r="AK41" i="4"/>
  <c r="U41" i="4"/>
  <c r="X40" i="4"/>
  <c r="H40" i="4"/>
  <c r="AK34" i="4"/>
  <c r="U34" i="4"/>
  <c r="X33" i="4"/>
  <c r="H33" i="4"/>
  <c r="K32" i="4"/>
  <c r="AH31" i="4"/>
  <c r="K25" i="4"/>
  <c r="AH24" i="4"/>
  <c r="AK23" i="4"/>
  <c r="U23" i="4"/>
  <c r="AK40" i="4"/>
  <c r="X25" i="4"/>
  <c r="AJ22" i="4"/>
  <c r="Z14" i="4"/>
  <c r="Z13" i="4"/>
  <c r="H13" i="4"/>
  <c r="U40" i="4"/>
  <c r="X32" i="4"/>
  <c r="H25" i="4"/>
  <c r="AI22" i="4"/>
  <c r="AK16" i="4"/>
  <c r="AM15" i="4"/>
  <c r="W14" i="4"/>
  <c r="Y13" i="4"/>
  <c r="H32" i="4"/>
  <c r="X22" i="4"/>
  <c r="AH16" i="4"/>
  <c r="AL15" i="4"/>
  <c r="U14" i="4"/>
  <c r="X13" i="4"/>
  <c r="K24" i="4"/>
  <c r="U22" i="4"/>
  <c r="AJ15" i="4"/>
  <c r="W13" i="4"/>
  <c r="K31" i="4"/>
  <c r="AH23" i="4"/>
  <c r="AM14" i="4"/>
  <c r="V13" i="4"/>
  <c r="U16" i="4"/>
  <c r="X15" i="4"/>
  <c r="AK14" i="4"/>
  <c r="AM13" i="4"/>
  <c r="U13" i="4"/>
  <c r="H22" i="4"/>
  <c r="W15" i="4"/>
  <c r="AJ14" i="4"/>
  <c r="M14" i="4"/>
  <c r="AL13" i="4"/>
  <c r="AN13" i="4" s="1"/>
  <c r="M16" i="4"/>
  <c r="V15" i="4"/>
  <c r="AI14" i="4"/>
  <c r="AO14" i="4" s="1"/>
  <c r="L14" i="4"/>
  <c r="AK13" i="4"/>
  <c r="AH34" i="4"/>
  <c r="M23" i="4"/>
  <c r="L16" i="4"/>
  <c r="U15" i="4"/>
  <c r="AH14" i="4"/>
  <c r="K14" i="4"/>
  <c r="AJ13" i="4"/>
  <c r="M13" i="4"/>
  <c r="L23" i="4"/>
  <c r="J14" i="4"/>
  <c r="AH13" i="4"/>
  <c r="K13" i="4"/>
  <c r="AH41" i="4"/>
  <c r="AK33" i="4"/>
  <c r="K15" i="4"/>
  <c r="H14" i="4"/>
  <c r="J13" i="4"/>
  <c r="U33" i="4"/>
  <c r="AK22" i="4"/>
  <c r="H15" i="4"/>
  <c r="I13" i="4"/>
  <c r="O13" i="4" s="1"/>
  <c r="AH55" i="1" a="1"/>
  <c r="AH55" i="1" s="1"/>
  <c r="AA55" i="1" a="1"/>
  <c r="AA55" i="1" s="1"/>
  <c r="AH50" i="1" a="1"/>
  <c r="AH50" i="1" s="1"/>
  <c r="AA50" i="1" a="1"/>
  <c r="AA50" i="1" s="1"/>
  <c r="U91" i="5"/>
  <c r="N91" i="3" s="1"/>
  <c r="U103" i="5"/>
  <c r="N103" i="3" s="1"/>
  <c r="U109" i="5"/>
  <c r="N109" i="3" s="1"/>
  <c r="AD111" i="5"/>
  <c r="U105" i="5"/>
  <c r="N105" i="3" s="1"/>
  <c r="Y112" i="5"/>
  <c r="U12" i="5"/>
  <c r="N12" i="3" s="1"/>
  <c r="U87" i="5"/>
  <c r="N85" i="3" s="1"/>
  <c r="U97" i="5"/>
  <c r="N98" i="3" s="1"/>
  <c r="U100" i="5"/>
  <c r="N100" i="3" s="1"/>
  <c r="Y113" i="5"/>
  <c r="U113" i="5"/>
  <c r="N113" i="3" s="1"/>
  <c r="N22" i="6"/>
  <c r="I22" i="6"/>
  <c r="Y110" i="5"/>
  <c r="U110" i="5"/>
  <c r="N110" i="3" s="1"/>
  <c r="U114" i="5"/>
  <c r="N114" i="3" s="1"/>
  <c r="U115" i="5"/>
  <c r="N115" i="3" s="1"/>
  <c r="AN15" i="4" l="1"/>
  <c r="AB31" i="4"/>
  <c r="AO33" i="4"/>
  <c r="AB41" i="4"/>
  <c r="O32" i="4"/>
  <c r="AB23" i="4"/>
  <c r="AO32" i="4"/>
  <c r="AA32" i="4"/>
  <c r="AB25" i="4"/>
  <c r="AB43" i="4"/>
  <c r="AN14" i="4"/>
  <c r="O23" i="4"/>
  <c r="O41" i="4"/>
  <c r="AN25" i="4"/>
  <c r="AN43" i="4"/>
  <c r="AB14" i="4"/>
  <c r="N15" i="4"/>
  <c r="AA33" i="4"/>
  <c r="AO23" i="4"/>
  <c r="AO41" i="4"/>
  <c r="AB15" i="4"/>
  <c r="AB13" i="4"/>
  <c r="AC16" i="4" s="1"/>
  <c r="AB24" i="4"/>
  <c r="AB42" i="4"/>
  <c r="AA31" i="4"/>
  <c r="N34" i="4"/>
  <c r="AN23" i="4"/>
  <c r="AN41" i="4"/>
  <c r="N14" i="4"/>
  <c r="O33" i="4"/>
  <c r="AN22" i="4"/>
  <c r="AN40" i="4"/>
  <c r="Z108" i="5"/>
  <c r="I112" i="5"/>
  <c r="J108" i="3"/>
  <c r="AE108" i="5"/>
  <c r="I104" i="3"/>
  <c r="AD104" i="5"/>
  <c r="J106" i="3"/>
  <c r="AE106" i="5"/>
  <c r="AA23" i="4"/>
  <c r="AA41" i="4"/>
  <c r="O31" i="4"/>
  <c r="J103" i="3"/>
  <c r="AE103" i="5"/>
  <c r="AF103" i="5" s="1"/>
  <c r="J113" i="3"/>
  <c r="AE113" i="5"/>
  <c r="I102" i="3"/>
  <c r="AD102" i="5"/>
  <c r="AN16" i="4"/>
  <c r="AN34" i="4"/>
  <c r="AN24" i="4"/>
  <c r="AN42" i="4"/>
  <c r="AB32" i="4"/>
  <c r="I105" i="3"/>
  <c r="AD105" i="5"/>
  <c r="AE112" i="5"/>
  <c r="J112" i="3"/>
  <c r="AB34" i="4"/>
  <c r="AA13" i="4"/>
  <c r="O22" i="4"/>
  <c r="O40" i="4"/>
  <c r="AO25" i="4"/>
  <c r="AO43" i="4"/>
  <c r="AA25" i="4"/>
  <c r="J104" i="3"/>
  <c r="AE104" i="5"/>
  <c r="Z112" i="5"/>
  <c r="I114" i="5" s="1"/>
  <c r="I115" i="5"/>
  <c r="AO13" i="4"/>
  <c r="N21" i="6"/>
  <c r="I21" i="6"/>
  <c r="J110" i="3"/>
  <c r="AE110" i="5"/>
  <c r="O14" i="4"/>
  <c r="AN31" i="4"/>
  <c r="I108" i="3"/>
  <c r="AD108" i="5"/>
  <c r="N23" i="4"/>
  <c r="P25" i="4" s="1"/>
  <c r="AB16" i="4"/>
  <c r="AC13" i="4" s="1"/>
  <c r="AA22" i="4"/>
  <c r="AC24" i="4" s="1"/>
  <c r="AA40" i="4"/>
  <c r="AC43" i="4" s="1"/>
  <c r="AA14" i="4"/>
  <c r="AO40" i="4"/>
  <c r="J107" i="3"/>
  <c r="AE107" i="5"/>
  <c r="AF107" i="5" s="1"/>
  <c r="AE111" i="5"/>
  <c r="AC111" i="5" s="1"/>
  <c r="J111" i="3"/>
  <c r="I113" i="5"/>
  <c r="Z110" i="5"/>
  <c r="N16" i="4"/>
  <c r="AO22" i="4"/>
  <c r="AO24" i="4"/>
  <c r="AO42" i="4"/>
  <c r="AO15" i="4"/>
  <c r="N33" i="4"/>
  <c r="P33" i="4" s="1"/>
  <c r="N41" i="4"/>
  <c r="O15" i="4"/>
  <c r="AB33" i="4"/>
  <c r="AC33" i="4" s="1"/>
  <c r="AE109" i="5"/>
  <c r="AF109" i="5" s="1"/>
  <c r="J109" i="3"/>
  <c r="J100" i="3"/>
  <c r="AE100" i="5"/>
  <c r="AF110" i="5"/>
  <c r="AC110" i="5"/>
  <c r="I106" i="3"/>
  <c r="AD106" i="5"/>
  <c r="Z113" i="5"/>
  <c r="J114" i="5" s="1"/>
  <c r="J115" i="5"/>
  <c r="O16" i="4"/>
  <c r="O34" i="4"/>
  <c r="N13" i="4"/>
  <c r="AO31" i="4"/>
  <c r="AP32" i="4" s="1"/>
  <c r="AA16" i="4"/>
  <c r="AA34" i="4"/>
  <c r="AA24" i="4"/>
  <c r="AC23" i="4" s="1"/>
  <c r="AA42" i="4"/>
  <c r="AC41" i="4" s="1"/>
  <c r="AO16" i="4"/>
  <c r="AO34" i="4"/>
  <c r="J102" i="3"/>
  <c r="AE102" i="5"/>
  <c r="AC103" i="5" l="1"/>
  <c r="P15" i="4"/>
  <c r="P34" i="4"/>
  <c r="AC31" i="4"/>
  <c r="H56" i="4" s="1" a="1"/>
  <c r="H56" i="4" s="1"/>
  <c r="AP15" i="4"/>
  <c r="AC15" i="4"/>
  <c r="AP24" i="4"/>
  <c r="AP40" i="4"/>
  <c r="AC22" i="4"/>
  <c r="J53" i="4" s="1" a="1"/>
  <c r="J53" i="4" s="1"/>
  <c r="AP22" i="4"/>
  <c r="J87" i="5" s="1" a="1"/>
  <c r="J87" i="5" s="1"/>
  <c r="P14" i="4"/>
  <c r="AP25" i="4"/>
  <c r="AP31" i="4"/>
  <c r="AC25" i="4"/>
  <c r="P16" i="4"/>
  <c r="P31" i="4"/>
  <c r="P41" i="4"/>
  <c r="P23" i="4"/>
  <c r="AC14" i="4"/>
  <c r="K50" i="4" s="1" a="1"/>
  <c r="K50" i="4" s="1"/>
  <c r="P22" i="4"/>
  <c r="E52" i="4" s="1" a="1"/>
  <c r="E52" i="4" s="1"/>
  <c r="P24" i="4"/>
  <c r="AP43" i="4"/>
  <c r="AC109" i="5"/>
  <c r="AC34" i="4"/>
  <c r="M50" i="4" a="1"/>
  <c r="M50" i="4" s="1"/>
  <c r="G50" i="4" a="1"/>
  <c r="G50" i="4" s="1"/>
  <c r="F50" i="4" a="1"/>
  <c r="F50" i="4" s="1"/>
  <c r="I96" i="5" a="1"/>
  <c r="I96" i="5" s="1"/>
  <c r="J84" i="5" a="1"/>
  <c r="J84" i="5" s="1"/>
  <c r="L53" i="4" a="1"/>
  <c r="L53" i="4" s="1"/>
  <c r="F53" i="4" a="1"/>
  <c r="F53" i="4" s="1"/>
  <c r="K53" i="4" a="1"/>
  <c r="K53" i="4" s="1"/>
  <c r="E53" i="4" a="1"/>
  <c r="E53" i="4" s="1"/>
  <c r="AD114" i="5"/>
  <c r="I114" i="3"/>
  <c r="AP23" i="4"/>
  <c r="G52" i="4" a="1"/>
  <c r="G52" i="4" s="1"/>
  <c r="AF108" i="5"/>
  <c r="AC108" i="5"/>
  <c r="AF105" i="5"/>
  <c r="AC105" i="5"/>
  <c r="P13" i="4"/>
  <c r="AF104" i="5"/>
  <c r="AC104" i="5"/>
  <c r="AF102" i="5"/>
  <c r="AC102" i="5"/>
  <c r="AP34" i="4"/>
  <c r="AC42" i="4"/>
  <c r="AC32" i="4"/>
  <c r="I95" i="5" s="1" a="1"/>
  <c r="I95" i="5" s="1"/>
  <c r="AF111" i="5"/>
  <c r="P42" i="4"/>
  <c r="AP41" i="4"/>
  <c r="AP14" i="4"/>
  <c r="E55" i="4" a="1"/>
  <c r="E55" i="4" s="1"/>
  <c r="J55" i="4" a="1"/>
  <c r="J55" i="4" s="1"/>
  <c r="I55" i="4" a="1"/>
  <c r="I55" i="4" s="1"/>
  <c r="H55" i="4" a="1"/>
  <c r="H55" i="4" s="1"/>
  <c r="I93" i="5" a="1"/>
  <c r="I93" i="5" s="1"/>
  <c r="AC40" i="4"/>
  <c r="P32" i="4"/>
  <c r="L55" i="4" s="1" a="1"/>
  <c r="L55" i="4" s="1"/>
  <c r="P43" i="4"/>
  <c r="AP42" i="4"/>
  <c r="AP13" i="4"/>
  <c r="AP33" i="4"/>
  <c r="I88" i="5" s="1" a="1"/>
  <c r="I88" i="5" s="1"/>
  <c r="I113" i="3"/>
  <c r="AD113" i="5"/>
  <c r="AC107" i="5"/>
  <c r="AE115" i="5"/>
  <c r="J115" i="3"/>
  <c r="AE114" i="5"/>
  <c r="J114" i="3"/>
  <c r="P40" i="4"/>
  <c r="I112" i="3"/>
  <c r="AD112" i="5"/>
  <c r="AP16" i="4"/>
  <c r="AF106" i="5"/>
  <c r="AC106" i="5"/>
  <c r="I115" i="3"/>
  <c r="U8" i="5"/>
  <c r="U9" i="5"/>
  <c r="AD115" i="5"/>
  <c r="L50" i="4" l="1" a="1"/>
  <c r="L50" i="4" s="1"/>
  <c r="M52" i="4" a="1"/>
  <c r="M52" i="4" s="1"/>
  <c r="H60" i="4" a="1"/>
  <c r="H60" i="4" s="1"/>
  <c r="H50" i="4" a="1"/>
  <c r="H50" i="4" s="1"/>
  <c r="G53" i="4" a="1"/>
  <c r="G53" i="4" s="1"/>
  <c r="J50" i="4" a="1"/>
  <c r="J50" i="4" s="1"/>
  <c r="I50" i="4" a="1"/>
  <c r="I50" i="4" s="1"/>
  <c r="K52" i="4" a="1"/>
  <c r="K52" i="4" s="1"/>
  <c r="E50" i="4" a="1"/>
  <c r="E50" i="4" s="1"/>
  <c r="F60" i="4" a="1"/>
  <c r="F60" i="4" s="1"/>
  <c r="L56" i="4" a="1"/>
  <c r="L56" i="4" s="1"/>
  <c r="F52" i="4" a="1"/>
  <c r="F52" i="4" s="1"/>
  <c r="L52" i="4" a="1"/>
  <c r="L52" i="4" s="1"/>
  <c r="H57" i="4" a="1"/>
  <c r="H57" i="4" s="1"/>
  <c r="H52" i="4" a="1"/>
  <c r="H52" i="4" s="1"/>
  <c r="M53" i="4" a="1"/>
  <c r="M53" i="4" s="1"/>
  <c r="E57" i="4" a="1"/>
  <c r="E57" i="4" s="1"/>
  <c r="J54" i="4" a="1"/>
  <c r="J54" i="4" s="1"/>
  <c r="H53" i="4" a="1"/>
  <c r="H53" i="4" s="1"/>
  <c r="K57" i="4" a="1"/>
  <c r="K57" i="4" s="1"/>
  <c r="I57" i="4" a="1"/>
  <c r="I57" i="4" s="1"/>
  <c r="J89" i="5" a="1"/>
  <c r="J89" i="5" s="1"/>
  <c r="AE89" i="5" s="1"/>
  <c r="I99" i="5" a="1"/>
  <c r="I99" i="5" s="1"/>
  <c r="I53" i="4" a="1"/>
  <c r="I53" i="4" s="1"/>
  <c r="F57" i="4" a="1"/>
  <c r="F57" i="4" s="1"/>
  <c r="J57" i="4" a="1"/>
  <c r="J57" i="4" s="1"/>
  <c r="J99" i="5" a="1"/>
  <c r="J99" i="5" s="1"/>
  <c r="I92" i="5" a="1"/>
  <c r="I92" i="5" s="1"/>
  <c r="J94" i="5" a="1"/>
  <c r="J94" i="5" s="1"/>
  <c r="AE94" i="5" s="1"/>
  <c r="L57" i="4" a="1"/>
  <c r="L57" i="4" s="1"/>
  <c r="G55" i="4" a="1"/>
  <c r="G55" i="4" s="1"/>
  <c r="I52" i="4" a="1"/>
  <c r="I52" i="4" s="1"/>
  <c r="I89" i="5" a="1"/>
  <c r="I89" i="5" s="1"/>
  <c r="I88" i="3" s="1"/>
  <c r="I91" i="5" a="1"/>
  <c r="I91" i="5" s="1"/>
  <c r="I91" i="3" s="1"/>
  <c r="G57" i="4" a="1"/>
  <c r="G57" i="4" s="1"/>
  <c r="M55" i="4" a="1"/>
  <c r="M55" i="4" s="1"/>
  <c r="J52" i="4" a="1"/>
  <c r="J52" i="4" s="1"/>
  <c r="I85" i="5" a="1"/>
  <c r="I85" i="5" s="1"/>
  <c r="I86" i="3" s="1"/>
  <c r="M60" i="4" a="1"/>
  <c r="M60" i="4" s="1"/>
  <c r="M57" i="4" a="1"/>
  <c r="M57" i="4" s="1"/>
  <c r="AF115" i="5"/>
  <c r="AC115" i="5"/>
  <c r="L59" i="4" a="1"/>
  <c r="L59" i="4" s="1"/>
  <c r="F59" i="4" a="1"/>
  <c r="F59" i="4" s="1"/>
  <c r="K59" i="4" a="1"/>
  <c r="K59" i="4" s="1"/>
  <c r="E59" i="4" a="1"/>
  <c r="E59" i="4" s="1"/>
  <c r="J59" i="4" a="1"/>
  <c r="J59" i="4" s="1"/>
  <c r="I59" i="4" a="1"/>
  <c r="I59" i="4" s="1"/>
  <c r="H59" i="4" a="1"/>
  <c r="H59" i="4" s="1"/>
  <c r="M59" i="4" a="1"/>
  <c r="M59" i="4" s="1"/>
  <c r="G59" i="4" a="1"/>
  <c r="G59" i="4" s="1"/>
  <c r="I94" i="5" a="1"/>
  <c r="I94" i="5" s="1"/>
  <c r="I98" i="5" a="1"/>
  <c r="I98" i="5" s="1"/>
  <c r="L60" i="4" a="1"/>
  <c r="L60" i="4" s="1"/>
  <c r="G56" i="4" a="1"/>
  <c r="G56" i="4" s="1"/>
  <c r="E54" i="4" a="1"/>
  <c r="E54" i="4" s="1"/>
  <c r="I92" i="3"/>
  <c r="AD93" i="5"/>
  <c r="G60" i="4" a="1"/>
  <c r="G60" i="4" s="1"/>
  <c r="M56" i="4" a="1"/>
  <c r="M56" i="4" s="1"/>
  <c r="K54" i="4" a="1"/>
  <c r="K54" i="4" s="1"/>
  <c r="J84" i="3"/>
  <c r="AE84" i="5"/>
  <c r="I89" i="3"/>
  <c r="AD88" i="5"/>
  <c r="J85" i="3"/>
  <c r="AE87" i="5"/>
  <c r="I96" i="3"/>
  <c r="AD96" i="5"/>
  <c r="J97" i="3"/>
  <c r="AE99" i="5"/>
  <c r="J95" i="3"/>
  <c r="I94" i="3"/>
  <c r="AD95" i="5"/>
  <c r="I60" i="4" a="1"/>
  <c r="I60" i="4" s="1"/>
  <c r="J56" i="4" a="1"/>
  <c r="J56" i="4" s="1"/>
  <c r="G54" i="4" a="1"/>
  <c r="G54" i="4" s="1"/>
  <c r="I97" i="3"/>
  <c r="AD99" i="5"/>
  <c r="L51" i="4" a="1"/>
  <c r="L51" i="4" s="1"/>
  <c r="F51" i="4" a="1"/>
  <c r="F51" i="4" s="1"/>
  <c r="K51" i="4" a="1"/>
  <c r="K51" i="4" s="1"/>
  <c r="E51" i="4" a="1"/>
  <c r="E51" i="4" s="1"/>
  <c r="J51" i="4" a="1"/>
  <c r="J51" i="4" s="1"/>
  <c r="I51" i="4" a="1"/>
  <c r="I51" i="4" s="1"/>
  <c r="H51" i="4" a="1"/>
  <c r="H51" i="4" s="1"/>
  <c r="M51" i="4" a="1"/>
  <c r="M51" i="4" s="1"/>
  <c r="G51" i="4" a="1"/>
  <c r="G51" i="4" s="1"/>
  <c r="J86" i="5" a="1"/>
  <c r="J86" i="5" s="1"/>
  <c r="I87" i="5" a="1"/>
  <c r="I87" i="5" s="1"/>
  <c r="J60" i="4" a="1"/>
  <c r="J60" i="4" s="1"/>
  <c r="E56" i="4" a="1"/>
  <c r="E56" i="4" s="1"/>
  <c r="M54" i="4" a="1"/>
  <c r="M54" i="4" s="1"/>
  <c r="J97" i="5" a="1"/>
  <c r="J97" i="5" s="1"/>
  <c r="I86" i="5" a="1"/>
  <c r="I86" i="5" s="1"/>
  <c r="AC113" i="5"/>
  <c r="AF113" i="5"/>
  <c r="AF112" i="5"/>
  <c r="AC112" i="5"/>
  <c r="K55" i="4" a="1"/>
  <c r="K55" i="4" s="1"/>
  <c r="E60" i="4" a="1"/>
  <c r="E60" i="4" s="1"/>
  <c r="K56" i="4" a="1"/>
  <c r="K56" i="4" s="1"/>
  <c r="H54" i="4" a="1"/>
  <c r="H54" i="4" s="1"/>
  <c r="I93" i="3"/>
  <c r="AD92" i="5"/>
  <c r="F54" i="4" a="1"/>
  <c r="F54" i="4" s="1"/>
  <c r="I56" i="4" a="1"/>
  <c r="I56" i="4" s="1"/>
  <c r="F55" i="4" a="1"/>
  <c r="F55" i="4" s="1"/>
  <c r="K60" i="4" a="1"/>
  <c r="K60" i="4" s="1"/>
  <c r="F56" i="4" a="1"/>
  <c r="F56" i="4" s="1"/>
  <c r="I54" i="4" a="1"/>
  <c r="I54" i="4" s="1"/>
  <c r="AF114" i="5"/>
  <c r="AC114" i="5"/>
  <c r="L54" i="4" a="1"/>
  <c r="L54" i="4" s="1"/>
  <c r="K58" i="4" a="1"/>
  <c r="K58" i="4" s="1"/>
  <c r="E58" i="4" a="1"/>
  <c r="E58" i="4" s="1"/>
  <c r="J58" i="4" a="1"/>
  <c r="J58" i="4" s="1"/>
  <c r="I58" i="4" a="1"/>
  <c r="I58" i="4" s="1"/>
  <c r="H58" i="4" a="1"/>
  <c r="H58" i="4" s="1"/>
  <c r="M58" i="4" a="1"/>
  <c r="M58" i="4" s="1"/>
  <c r="G58" i="4" a="1"/>
  <c r="G58" i="4" s="1"/>
  <c r="L58" i="4" a="1"/>
  <c r="L58" i="4" s="1"/>
  <c r="F58" i="4" a="1"/>
  <c r="F58" i="4" s="1"/>
  <c r="J95" i="5" a="1"/>
  <c r="J95" i="5" s="1"/>
  <c r="I97" i="5" a="1"/>
  <c r="I97" i="5" s="1"/>
  <c r="I49" i="4" a="1"/>
  <c r="I49" i="4" s="1"/>
  <c r="H49" i="4" a="1"/>
  <c r="H49" i="4" s="1"/>
  <c r="M49" i="4" a="1"/>
  <c r="M49" i="4" s="1"/>
  <c r="G49" i="4" a="1"/>
  <c r="G49" i="4" s="1"/>
  <c r="L49" i="4" a="1"/>
  <c r="L49" i="4" s="1"/>
  <c r="F49" i="4" a="1"/>
  <c r="F49" i="4" s="1"/>
  <c r="K49" i="4" a="1"/>
  <c r="K49" i="4" s="1"/>
  <c r="E49" i="4" a="1"/>
  <c r="E49" i="4" s="1"/>
  <c r="J49" i="4" a="1"/>
  <c r="J49" i="4" s="1"/>
  <c r="I84" i="5" a="1"/>
  <c r="I84" i="5" s="1"/>
  <c r="I90" i="5" a="1"/>
  <c r="I90" i="5" s="1"/>
  <c r="J88" i="3" l="1"/>
  <c r="AD91" i="5"/>
  <c r="AD85" i="5"/>
  <c r="N49" i="4"/>
  <c r="S49" i="4" s="1"/>
  <c r="AD89" i="5"/>
  <c r="O49" i="4"/>
  <c r="G65" i="4"/>
  <c r="I90" i="3"/>
  <c r="AD90" i="5"/>
  <c r="J87" i="3"/>
  <c r="AE86" i="5"/>
  <c r="I95" i="3"/>
  <c r="AD94" i="5"/>
  <c r="I87" i="3"/>
  <c r="AD86" i="5"/>
  <c r="Y86" i="5"/>
  <c r="I98" i="3"/>
  <c r="AD97" i="5"/>
  <c r="AF99" i="5"/>
  <c r="AC99" i="5"/>
  <c r="I85" i="3"/>
  <c r="AD87" i="5"/>
  <c r="I84" i="3"/>
  <c r="AD84" i="5"/>
  <c r="Y84" i="5"/>
  <c r="J98" i="3"/>
  <c r="AE97" i="5"/>
  <c r="J94" i="3"/>
  <c r="AE95" i="5"/>
  <c r="N60" i="4"/>
  <c r="N56" i="4"/>
  <c r="N52" i="4"/>
  <c r="N57" i="4"/>
  <c r="N53" i="4"/>
  <c r="N58" i="4"/>
  <c r="N54" i="4"/>
  <c r="N50" i="4"/>
  <c r="N59" i="4"/>
  <c r="N55" i="4"/>
  <c r="N51" i="4"/>
  <c r="AF89" i="5"/>
  <c r="AC89" i="5"/>
  <c r="I99" i="3"/>
  <c r="AD98" i="5"/>
  <c r="Z84" i="5" l="1"/>
  <c r="I101" i="5"/>
  <c r="M65" i="4"/>
  <c r="S55" i="4"/>
  <c r="O55" i="4"/>
  <c r="H65" i="4"/>
  <c r="S50" i="4"/>
  <c r="O50" i="4"/>
  <c r="L65" i="4"/>
  <c r="S54" i="4"/>
  <c r="O54" i="4"/>
  <c r="AF97" i="5"/>
  <c r="AC97" i="5" s="1"/>
  <c r="I65" i="4"/>
  <c r="S51" i="4"/>
  <c r="O51" i="4"/>
  <c r="S58" i="4"/>
  <c r="O58" i="4"/>
  <c r="P65" i="4"/>
  <c r="AF95" i="5"/>
  <c r="AC95" i="5" s="1"/>
  <c r="O56" i="4"/>
  <c r="N65" i="4"/>
  <c r="S56" i="4"/>
  <c r="AF84" i="5"/>
  <c r="AC84" i="5" s="1"/>
  <c r="AF94" i="5"/>
  <c r="AC94" i="5"/>
  <c r="AF87" i="5"/>
  <c r="AC87" i="5"/>
  <c r="Q65" i="4"/>
  <c r="S59" i="4"/>
  <c r="O59" i="4"/>
  <c r="K65" i="4"/>
  <c r="S53" i="4"/>
  <c r="O53" i="4"/>
  <c r="J101" i="5"/>
  <c r="Z86" i="5"/>
  <c r="S57" i="4"/>
  <c r="O57" i="4"/>
  <c r="O65" i="4"/>
  <c r="AF86" i="5"/>
  <c r="AC86" i="5"/>
  <c r="O60" i="4"/>
  <c r="R65" i="4"/>
  <c r="S60" i="4"/>
  <c r="O52" i="4"/>
  <c r="J65" i="4"/>
  <c r="S52" i="4"/>
  <c r="F68" i="4" l="1"/>
  <c r="J91" i="5" s="1"/>
  <c r="F71" i="4"/>
  <c r="J96" i="5" s="1"/>
  <c r="J96" i="3"/>
  <c r="AE96" i="5"/>
  <c r="J91" i="3"/>
  <c r="AE91" i="5"/>
  <c r="F72" i="4"/>
  <c r="J98" i="5" s="1"/>
  <c r="F69" i="4"/>
  <c r="J92" i="5" s="1"/>
  <c r="F70" i="4"/>
  <c r="J93" i="5" s="1"/>
  <c r="F65" i="4"/>
  <c r="F66" i="4"/>
  <c r="J88" i="5" s="1"/>
  <c r="I101" i="3"/>
  <c r="AD101" i="5"/>
  <c r="F67" i="4"/>
  <c r="J90" i="5" s="1"/>
  <c r="J101" i="3"/>
  <c r="AE101" i="5"/>
  <c r="J89" i="3" l="1"/>
  <c r="AE88" i="5"/>
  <c r="J92" i="3"/>
  <c r="AE93" i="5"/>
  <c r="J90" i="3"/>
  <c r="AE90" i="5"/>
  <c r="AC101" i="5"/>
  <c r="AF101" i="5"/>
  <c r="J93" i="3"/>
  <c r="AE92" i="5"/>
  <c r="J85" i="5"/>
  <c r="G71" i="4"/>
  <c r="G66" i="4"/>
  <c r="G70" i="4"/>
  <c r="G69" i="4"/>
  <c r="G67" i="4"/>
  <c r="G68" i="4"/>
  <c r="G72" i="4"/>
  <c r="M66" i="4"/>
  <c r="I68" i="4"/>
  <c r="P69" i="4"/>
  <c r="Q70" i="4"/>
  <c r="O70" i="4"/>
  <c r="R69" i="4"/>
  <c r="J69" i="4"/>
  <c r="M70" i="4"/>
  <c r="I71" i="4"/>
  <c r="I70" i="4"/>
  <c r="J68" i="4"/>
  <c r="P72" i="4"/>
  <c r="O72" i="4"/>
  <c r="H70" i="4"/>
  <c r="I67" i="4"/>
  <c r="Q69" i="4"/>
  <c r="K72" i="4"/>
  <c r="O69" i="4"/>
  <c r="R68" i="4"/>
  <c r="J72" i="4"/>
  <c r="R67" i="4"/>
  <c r="K70" i="4"/>
  <c r="J70" i="4"/>
  <c r="O66" i="4"/>
  <c r="N72" i="4"/>
  <c r="L69" i="4"/>
  <c r="K67" i="4"/>
  <c r="M68" i="4"/>
  <c r="K66" i="4"/>
  <c r="H71" i="4"/>
  <c r="P71" i="4"/>
  <c r="P70" i="4"/>
  <c r="O71" i="4"/>
  <c r="H69" i="4"/>
  <c r="L72" i="4"/>
  <c r="I66" i="4"/>
  <c r="P68" i="4"/>
  <c r="Q68" i="4"/>
  <c r="K71" i="4"/>
  <c r="O68" i="4"/>
  <c r="J71" i="4"/>
  <c r="R66" i="4"/>
  <c r="Q66" i="4"/>
  <c r="I72" i="4"/>
  <c r="M69" i="4"/>
  <c r="H68" i="4"/>
  <c r="Q67" i="4"/>
  <c r="O67" i="4"/>
  <c r="K69" i="4"/>
  <c r="P66" i="4"/>
  <c r="L68" i="4"/>
  <c r="M72" i="4"/>
  <c r="H67" i="4"/>
  <c r="L71" i="4"/>
  <c r="P67" i="4"/>
  <c r="R72" i="4"/>
  <c r="Q72" i="4"/>
  <c r="M67" i="4"/>
  <c r="R70" i="4"/>
  <c r="M71" i="4"/>
  <c r="H66" i="4"/>
  <c r="L70" i="4"/>
  <c r="K68" i="4"/>
  <c r="N71" i="4"/>
  <c r="N70" i="4"/>
  <c r="L67" i="4"/>
  <c r="N69" i="4"/>
  <c r="N68" i="4"/>
  <c r="R71" i="4"/>
  <c r="L66" i="4"/>
  <c r="Q71" i="4"/>
  <c r="H72" i="4"/>
  <c r="N67" i="4"/>
  <c r="J67" i="4"/>
  <c r="I69" i="4"/>
  <c r="N66" i="4"/>
  <c r="J66" i="4"/>
  <c r="J99" i="3"/>
  <c r="AE98" i="5"/>
  <c r="AC91" i="5"/>
  <c r="AF91" i="5"/>
  <c r="AF96" i="5"/>
  <c r="AC96" i="5"/>
  <c r="AF92" i="5" l="1"/>
  <c r="AC92" i="5" s="1"/>
  <c r="J86" i="3"/>
  <c r="AE85" i="5"/>
  <c r="Y85" i="5"/>
  <c r="AF90" i="5"/>
  <c r="AC90" i="5"/>
  <c r="AF93" i="5"/>
  <c r="AC93" i="5"/>
  <c r="AF88" i="5"/>
  <c r="AC88" i="5" s="1"/>
  <c r="AF98" i="5"/>
  <c r="AC98" i="5"/>
  <c r="Z85" i="5" l="1"/>
  <c r="I100" i="5"/>
  <c r="AF85" i="5"/>
  <c r="AC85" i="5"/>
  <c r="I100" i="3" l="1"/>
  <c r="AD100" i="5"/>
  <c r="AF100" i="5" l="1"/>
  <c r="AC100" i="5"/>
</calcChain>
</file>

<file path=xl/sharedStrings.xml><?xml version="1.0" encoding="utf-8"?>
<sst xmlns="http://schemas.openxmlformats.org/spreadsheetml/2006/main" count="3304" uniqueCount="1598">
  <si>
    <t>_UTC</t>
  </si>
  <si>
    <t>_KOWin</t>
  </si>
  <si>
    <t>_KOLose</t>
  </si>
  <si>
    <t>_FutR</t>
  </si>
  <si>
    <t>_HomeN</t>
  </si>
  <si>
    <t>_AwayN</t>
  </si>
  <si>
    <t>_Pair</t>
  </si>
  <si>
    <t>GA</t>
  </si>
  <si>
    <t>🇲🇽 Mexico</t>
  </si>
  <si>
    <t>🇿🇦 South Africa</t>
  </si>
  <si>
    <t>Estadio Azteca</t>
  </si>
  <si>
    <t>🇰🇷 South Korea</t>
  </si>
  <si>
    <t>🇨🇿 Czech Republic</t>
  </si>
  <si>
    <t>Estadio Akron</t>
  </si>
  <si>
    <t>GB</t>
  </si>
  <si>
    <t>🇨🇦 Canada</t>
  </si>
  <si>
    <t>🇧🇦 Bosnia &amp; Herzegovina</t>
  </si>
  <si>
    <t>BMO Field</t>
  </si>
  <si>
    <t>GD</t>
  </si>
  <si>
    <t>🇺🇸 USA</t>
  </si>
  <si>
    <t>🇵🇾 Paraguay</t>
  </si>
  <si>
    <t>SoFi Stadium</t>
  </si>
  <si>
    <t>🇶🇦 Qatar</t>
  </si>
  <si>
    <t>🇨🇭 Switzerland</t>
  </si>
  <si>
    <t>Levi's Stadium</t>
  </si>
  <si>
    <t>GC</t>
  </si>
  <si>
    <t>🇧🇷 Brazil</t>
  </si>
  <si>
    <t>🇲🇦 Morocco</t>
  </si>
  <si>
    <t>MetLife Stadium</t>
  </si>
  <si>
    <t>🇭🇹 Haiti</t>
  </si>
  <si>
    <t>🏴󠁧󠁢󠁳󠁣󠁴󠁿 Scotland</t>
  </si>
  <si>
    <t>Gillette Stadium</t>
  </si>
  <si>
    <t>🇦🇺 Australia</t>
  </si>
  <si>
    <t>🇹🇷 Turkey</t>
  </si>
  <si>
    <t>BC Place</t>
  </si>
  <si>
    <t>GE</t>
  </si>
  <si>
    <t>🇩🇪 Germany</t>
  </si>
  <si>
    <t>🇨🇼 Curaçao</t>
  </si>
  <si>
    <t>NRG Stadium</t>
  </si>
  <si>
    <t>GF</t>
  </si>
  <si>
    <t>🇳🇱 Netherlands</t>
  </si>
  <si>
    <t>🇯🇵 Japan</t>
  </si>
  <si>
    <t>AT&amp;T Stadium</t>
  </si>
  <si>
    <t>🇨🇮 Ivory Coast</t>
  </si>
  <si>
    <t>🇪🇨 Ecuador</t>
  </si>
  <si>
    <t>Lincoln Financial Field</t>
  </si>
  <si>
    <t>🇸🇪 Sweden</t>
  </si>
  <si>
    <t>🇹🇳 Tunisia</t>
  </si>
  <si>
    <t>Estadio BBVA</t>
  </si>
  <si>
    <t>GH</t>
  </si>
  <si>
    <t>🇪🇸 Spain</t>
  </si>
  <si>
    <t>🇨🇻 Cape Verde</t>
  </si>
  <si>
    <t>Mercedes-Benz Stadium</t>
  </si>
  <si>
    <t>GG</t>
  </si>
  <si>
    <t>🇧🇪 Belgium</t>
  </si>
  <si>
    <t>🇪🇬 Egypt</t>
  </si>
  <si>
    <t>Lumen Field</t>
  </si>
  <si>
    <t>🇸🇦 Saudi Arabia</t>
  </si>
  <si>
    <t>🇺🇾 Uruguay</t>
  </si>
  <si>
    <t>Hard Rock Stadium</t>
  </si>
  <si>
    <t>🇮🇷 Iran</t>
  </si>
  <si>
    <t>🇳🇿 New Zealand</t>
  </si>
  <si>
    <t>GI</t>
  </si>
  <si>
    <t>🇫🇷 France</t>
  </si>
  <si>
    <t>🇸🇳 Senegal</t>
  </si>
  <si>
    <t>🇮🇶 Iraq</t>
  </si>
  <si>
    <t>🇳🇴 Norway</t>
  </si>
  <si>
    <t>GJ</t>
  </si>
  <si>
    <t>🇦🇷 Argentina</t>
  </si>
  <si>
    <t>🇩🇿 Algeria</t>
  </si>
  <si>
    <t>Arrowhead Stadium</t>
  </si>
  <si>
    <t>🇦🇹 Austria</t>
  </si>
  <si>
    <t>🇯🇴 Jordan</t>
  </si>
  <si>
    <t>GK</t>
  </si>
  <si>
    <t>🇵🇹 Portugal</t>
  </si>
  <si>
    <t>🇨🇩 DR Congo</t>
  </si>
  <si>
    <t>GL</t>
  </si>
  <si>
    <t>🏴󠁧󠁢󠁥󠁮󠁧󠁿 England</t>
  </si>
  <si>
    <t>🇭🇷 Croatia</t>
  </si>
  <si>
    <t>🇬🇭 Ghana</t>
  </si>
  <si>
    <t>🇵🇦 Panama</t>
  </si>
  <si>
    <t>🇺🇿 Uzbekistan</t>
  </si>
  <si>
    <t>🇨🇴 Colombia</t>
  </si>
  <si>
    <t>R32</t>
  </si>
  <si>
    <t>R16</t>
  </si>
  <si>
    <t>QF</t>
  </si>
  <si>
    <t>SF</t>
  </si>
  <si>
    <t>3rd</t>
  </si>
  <si>
    <t>Final</t>
  </si>
  <si>
    <t>PREDICT FOR PSC</t>
  </si>
  <si>
    <t>a</t>
  </si>
  <si>
    <t>`</t>
  </si>
  <si>
    <t>A</t>
  </si>
  <si>
    <t>B</t>
  </si>
  <si>
    <t>C</t>
  </si>
  <si>
    <t>D</t>
  </si>
  <si>
    <t>E</t>
  </si>
  <si>
    <t>F</t>
  </si>
  <si>
    <t>G</t>
  </si>
  <si>
    <t>H</t>
  </si>
  <si>
    <t>I</t>
  </si>
  <si>
    <t>J</t>
  </si>
  <si>
    <t>K</t>
  </si>
  <si>
    <t>L</t>
  </si>
  <si>
    <t>adj A</t>
  </si>
  <si>
    <t>adj B</t>
  </si>
  <si>
    <t>adj C</t>
  </si>
  <si>
    <t>adj D</t>
  </si>
  <si>
    <t>adj E</t>
  </si>
  <si>
    <t>adj F</t>
  </si>
  <si>
    <t>adj G</t>
  </si>
  <si>
    <t>adj H</t>
  </si>
  <si>
    <t>adj I</t>
  </si>
  <si>
    <t>adj J</t>
  </si>
  <si>
    <t>adj K</t>
  </si>
  <si>
    <t>adj L</t>
  </si>
  <si>
    <t>M74</t>
  </si>
  <si>
    <t>ABCDF</t>
  </si>
  <si>
    <t>M77</t>
  </si>
  <si>
    <t>CDFGH</t>
  </si>
  <si>
    <t>M79</t>
  </si>
  <si>
    <t>CEFHI</t>
  </si>
  <si>
    <t>M80</t>
  </si>
  <si>
    <t>EHIJK</t>
  </si>
  <si>
    <t>M81</t>
  </si>
  <si>
    <t>BEFIJ</t>
  </si>
  <si>
    <t>M82</t>
  </si>
  <si>
    <t>AEHIJ</t>
  </si>
  <si>
    <t>M85</t>
  </si>
  <si>
    <t>EFGIJ</t>
  </si>
  <si>
    <t>M87</t>
  </si>
  <si>
    <t>DEIJL</t>
  </si>
  <si>
    <t>POSITION</t>
  </si>
  <si>
    <t>#</t>
  </si>
  <si>
    <t>Ivan Hašek</t>
  </si>
  <si>
    <t>Tomáš Souček</t>
  </si>
  <si>
    <t>Jan Koller (55)</t>
  </si>
  <si>
    <t>Runner-up (1934, 1962, as Czechoslovakia)</t>
  </si>
  <si>
    <t>Javier Aguirre</t>
  </si>
  <si>
    <t>Edson Álvarez</t>
  </si>
  <si>
    <t>Javier Hernández (52)</t>
  </si>
  <si>
    <t>QF (1970, 1986)</t>
  </si>
  <si>
    <t>Hugo Broos</t>
  </si>
  <si>
    <t>Ronwen Williams</t>
  </si>
  <si>
    <t>Benni McCarthy (32)</t>
  </si>
  <si>
    <t>Group (2010 hosts)</t>
  </si>
  <si>
    <t>Hong Myung-bo</t>
  </si>
  <si>
    <t>Son Heung-min</t>
  </si>
  <si>
    <t>Cha Bum-kun (58)</t>
  </si>
  <si>
    <t>4th (2002 hosts)</t>
  </si>
  <si>
    <t>Sergej Barbarez</t>
  </si>
  <si>
    <t>Edin Džeko</t>
  </si>
  <si>
    <t>Edin Džeko (66)</t>
  </si>
  <si>
    <t>Group</t>
  </si>
  <si>
    <t>Jesse Marsch</t>
  </si>
  <si>
    <t>Alphonso Davies</t>
  </si>
  <si>
    <t>Cyle Larin (29)</t>
  </si>
  <si>
    <t>Marquez Lopez</t>
  </si>
  <si>
    <t>Hassan Al-Haydos</t>
  </si>
  <si>
    <t>Almoez Ali (50+)</t>
  </si>
  <si>
    <t>Group (2022 hosts)</t>
  </si>
  <si>
    <t>Murat Yakın</t>
  </si>
  <si>
    <t>Granit Xhaka</t>
  </si>
  <si>
    <t>Alexander Frei (42)</t>
  </si>
  <si>
    <t>QF (1934, 1938, 1954, 2022)</t>
  </si>
  <si>
    <t>Carlo Ancelotti</t>
  </si>
  <si>
    <t>Marquinhos</t>
  </si>
  <si>
    <t>Pelé (77)</t>
  </si>
  <si>
    <t>Champions × 5 (1958, 1962, 1970, 1994, 2002)</t>
  </si>
  <si>
    <t>Sebastien Migné</t>
  </si>
  <si>
    <t>Duckens Nazon</t>
  </si>
  <si>
    <t>Manno Sanon (3 at 1974 WC)</t>
  </si>
  <si>
    <t>Group (1974)</t>
  </si>
  <si>
    <t>Walid Regragui</t>
  </si>
  <si>
    <t>Achraf Hakimi</t>
  </si>
  <si>
    <t>Ahmed Faras (36)</t>
  </si>
  <si>
    <t>4th (2022)</t>
  </si>
  <si>
    <t>Steve Clarke</t>
  </si>
  <si>
    <t>Andy Robertson</t>
  </si>
  <si>
    <t>Kenny Dalglish &amp; Denis Law (30)</t>
  </si>
  <si>
    <t>Tony Popovic</t>
  </si>
  <si>
    <t>Mat Ryan</t>
  </si>
  <si>
    <t>Tim Cahill (50)</t>
  </si>
  <si>
    <t>R16 (2006, 2022)</t>
  </si>
  <si>
    <t>Gustavo Alfaro</t>
  </si>
  <si>
    <t>Gustavo Gómez</t>
  </si>
  <si>
    <t>Roque Santa Cruz (32)</t>
  </si>
  <si>
    <t>QF (2010)</t>
  </si>
  <si>
    <t>Vincenzo Montella</t>
  </si>
  <si>
    <t>Hakan Çalhanoğlu</t>
  </si>
  <si>
    <t>Hakan Şükür (51)</t>
  </si>
  <si>
    <t>3rd (2002)</t>
  </si>
  <si>
    <t>Mauricio Pochettino</t>
  </si>
  <si>
    <t>Christian Pulisic</t>
  </si>
  <si>
    <t>Dempsey &amp; Donovan (57)</t>
  </si>
  <si>
    <t>3rd (1930)</t>
  </si>
  <si>
    <t>Dick Advocaat</t>
  </si>
  <si>
    <t>Leandro Bacuna</t>
  </si>
  <si>
    <t>Rangelo Janga (24)</t>
  </si>
  <si>
    <t>Debut</t>
  </si>
  <si>
    <t>Sebastián Beccacece</t>
  </si>
  <si>
    <t>Enner Valencia</t>
  </si>
  <si>
    <t>Enner Valencia (40+)</t>
  </si>
  <si>
    <t>R16 (2006)</t>
  </si>
  <si>
    <t>Julian Nagelsmann</t>
  </si>
  <si>
    <t>Joshua Kimmich</t>
  </si>
  <si>
    <t>Miroslav Klose (71)</t>
  </si>
  <si>
    <t>Champions × 4 (1954, 1974, 1990, 2014)</t>
  </si>
  <si>
    <t>Emerse Faé</t>
  </si>
  <si>
    <t>Franck Kessié</t>
  </si>
  <si>
    <t>Didier Drogba (65)</t>
  </si>
  <si>
    <t>Hajime Moriyasu</t>
  </si>
  <si>
    <t>Wataru Endo</t>
  </si>
  <si>
    <t>Kunishige Kamamoto (75)</t>
  </si>
  <si>
    <t>R16 (2002, 2010, 2018, 2022)</t>
  </si>
  <si>
    <t>Ronald Koeman</t>
  </si>
  <si>
    <t>Virgil van Dijk</t>
  </si>
  <si>
    <t>Robin van Persie (50)</t>
  </si>
  <si>
    <t>Runner-up × 3 (1974, 1978, 2010)</t>
  </si>
  <si>
    <t>Jon Dahl Tomasson</t>
  </si>
  <si>
    <t>Viktor Gyökeres</t>
  </si>
  <si>
    <t>Sven Rydell (49)</t>
  </si>
  <si>
    <t>Runner-up (1958 hosts)</t>
  </si>
  <si>
    <t>Sami Trabelsi</t>
  </si>
  <si>
    <t>Wahbi Khazri</t>
  </si>
  <si>
    <t>Issam Jemâa (36)</t>
  </si>
  <si>
    <t>Domenico Tedesco</t>
  </si>
  <si>
    <t>Kevin De Bruyne</t>
  </si>
  <si>
    <t>Romelu Lukaku (85)</t>
  </si>
  <si>
    <t>3rd (2018)</t>
  </si>
  <si>
    <t>Hossam Hassan</t>
  </si>
  <si>
    <t>Mohamed Salah</t>
  </si>
  <si>
    <t>Hossam Hassan (69)</t>
  </si>
  <si>
    <t>Amir Ghalenoei</t>
  </si>
  <si>
    <t>Ehsan Hajsafi</t>
  </si>
  <si>
    <t>Ali Daei (109)</t>
  </si>
  <si>
    <t>Darren Bazeley</t>
  </si>
  <si>
    <t>Chris Wood</t>
  </si>
  <si>
    <t>Chris Wood (40+)</t>
  </si>
  <si>
    <t>Bubista</t>
  </si>
  <si>
    <t>Ryan Mendes</t>
  </si>
  <si>
    <t>Ryan Mendes (15)</t>
  </si>
  <si>
    <t>Hervé Renard</t>
  </si>
  <si>
    <t>Salman Al-Faraj</t>
  </si>
  <si>
    <t>Majed Abdullah (72)</t>
  </si>
  <si>
    <t>R16 (1994)</t>
  </si>
  <si>
    <t>Luis de la Fuente</t>
  </si>
  <si>
    <t>Álvaro Morata</t>
  </si>
  <si>
    <t>David Villa (59)</t>
  </si>
  <si>
    <t>Champions (2010)</t>
  </si>
  <si>
    <t>Marcelo Bielsa</t>
  </si>
  <si>
    <t>Federico Valverde</t>
  </si>
  <si>
    <t>Luis Suárez (69)</t>
  </si>
  <si>
    <t>Champions × 2 (1930 hosts, 1950)</t>
  </si>
  <si>
    <t>Didier Deschamps</t>
  </si>
  <si>
    <t>Kylian Mbappé</t>
  </si>
  <si>
    <t>Olivier Giroud (57)</t>
  </si>
  <si>
    <t>Champions × 2 (1998 hosts, 2018)</t>
  </si>
  <si>
    <t>Jesús Casas</t>
  </si>
  <si>
    <t>Aymen Hussein</t>
  </si>
  <si>
    <t>Hussein Saeed (78)</t>
  </si>
  <si>
    <t>Ståle Solbakken</t>
  </si>
  <si>
    <t>Martin Ødegaard</t>
  </si>
  <si>
    <t>Jørgen Juve (33)</t>
  </si>
  <si>
    <t>R16 (1998)</t>
  </si>
  <si>
    <t>Pape Thiaw</t>
  </si>
  <si>
    <t>Kalidou Koulibaly</t>
  </si>
  <si>
    <t>Sadio Mané (43)</t>
  </si>
  <si>
    <t>QF (2002)</t>
  </si>
  <si>
    <t>Vladimir Petković</t>
  </si>
  <si>
    <t>Riyad Mahrez</t>
  </si>
  <si>
    <t>Islam Slimani (47)</t>
  </si>
  <si>
    <t>R16 (2014)</t>
  </si>
  <si>
    <t>Lionel Scaloni</t>
  </si>
  <si>
    <t>Lionel Messi</t>
  </si>
  <si>
    <t>Lionel Messi (109)</t>
  </si>
  <si>
    <t>Champions × 3 (1978 hosts, 1986, 2022)</t>
  </si>
  <si>
    <t>Ralf Rangnick</t>
  </si>
  <si>
    <t>David Alaba</t>
  </si>
  <si>
    <t>Anton Polster (44)</t>
  </si>
  <si>
    <t>3rd (1954)</t>
  </si>
  <si>
    <t>Jamal Sellami</t>
  </si>
  <si>
    <t>Musa Al-Taamari</t>
  </si>
  <si>
    <t>Musa Al-Taamari (10+)</t>
  </si>
  <si>
    <t>Néstor Lorenzo</t>
  </si>
  <si>
    <t>James Rodríguez</t>
  </si>
  <si>
    <t>Radamel Falcao (38)</t>
  </si>
  <si>
    <t>QF (2014)</t>
  </si>
  <si>
    <t>Sébastien Desabre</t>
  </si>
  <si>
    <t>Chancel Mbemba</t>
  </si>
  <si>
    <t>—</t>
  </si>
  <si>
    <t>Group (as Zaire 1974)</t>
  </si>
  <si>
    <t>Roberto Martínez</t>
  </si>
  <si>
    <t>Cristiano Ronaldo</t>
  </si>
  <si>
    <t>Cristiano Ronaldo (135)</t>
  </si>
  <si>
    <t>3rd (1966)</t>
  </si>
  <si>
    <t>Timur Kapadze</t>
  </si>
  <si>
    <t>Eldor Shomurodov</t>
  </si>
  <si>
    <t>Eldor Shomurodov (35+)</t>
  </si>
  <si>
    <t>Zlatko Dalić</t>
  </si>
  <si>
    <t>Luka Modrić</t>
  </si>
  <si>
    <t>Davor Šuker (45)</t>
  </si>
  <si>
    <t>Runner-up (2018), 3rd (1998, 2022)</t>
  </si>
  <si>
    <t>Thomas Tuchel</t>
  </si>
  <si>
    <t>Harry Kane</t>
  </si>
  <si>
    <t>Harry Kane (66)</t>
  </si>
  <si>
    <t>Champions (1966 hosts)</t>
  </si>
  <si>
    <t>Otto Addo</t>
  </si>
  <si>
    <t>André Ayew</t>
  </si>
  <si>
    <t>Asamoah Gyan (51)</t>
  </si>
  <si>
    <t>Thomas Christiansen</t>
  </si>
  <si>
    <t>Aníbal Godoy</t>
  </si>
  <si>
    <t>Blas Pérez (43)</t>
  </si>
  <si>
    <t>UK (BST / GMT)</t>
  </si>
  <si>
    <t>UK</t>
  </si>
  <si>
    <t>English</t>
  </si>
  <si>
    <t>EN</t>
  </si>
  <si>
    <t>GMT (UTC)</t>
  </si>
  <si>
    <t>GMT</t>
  </si>
  <si>
    <t>Español</t>
  </si>
  <si>
    <t>ES</t>
  </si>
  <si>
    <t>Central European (CEST)</t>
  </si>
  <si>
    <t>CEST</t>
  </si>
  <si>
    <t>Français</t>
  </si>
  <si>
    <t>FR</t>
  </si>
  <si>
    <t>US Eastern (EDT)</t>
  </si>
  <si>
    <t>ET</t>
  </si>
  <si>
    <t>Deutsch</t>
  </si>
  <si>
    <t>DE</t>
  </si>
  <si>
    <t>US Central (CDT)</t>
  </si>
  <si>
    <t>CT</t>
  </si>
  <si>
    <t>Português</t>
  </si>
  <si>
    <t>PT</t>
  </si>
  <si>
    <t>US Mountain (MDT)</t>
  </si>
  <si>
    <t>MT</t>
  </si>
  <si>
    <t>US Pacific (PDT)</t>
  </si>
  <si>
    <t>Australia (AEST)</t>
  </si>
  <si>
    <t>AEST</t>
  </si>
  <si>
    <t>Japan / Korea (JST/KST)</t>
  </si>
  <si>
    <t>JST</t>
  </si>
  <si>
    <t>Brazil (BRT)</t>
  </si>
  <si>
    <t>BRT</t>
  </si>
  <si>
    <t>Match</t>
  </si>
  <si>
    <t>Round</t>
  </si>
  <si>
    <t>UTC</t>
  </si>
  <si>
    <t>Home</t>
  </si>
  <si>
    <t>Away</t>
  </si>
  <si>
    <t>Stadium</t>
  </si>
  <si>
    <t>ITV?</t>
  </si>
  <si>
    <t>RoundOrder</t>
  </si>
  <si>
    <t>RefA</t>
  </si>
  <si>
    <t>RefB</t>
  </si>
  <si>
    <t>2A</t>
  </si>
  <si>
    <t>2B</t>
  </si>
  <si>
    <t>1E</t>
  </si>
  <si>
    <t>B3:74</t>
  </si>
  <si>
    <t>1F</t>
  </si>
  <si>
    <t>2C</t>
  </si>
  <si>
    <t>1C</t>
  </si>
  <si>
    <t>2F</t>
  </si>
  <si>
    <t>1I</t>
  </si>
  <si>
    <t>B3:77</t>
  </si>
  <si>
    <t>2E</t>
  </si>
  <si>
    <t>2I</t>
  </si>
  <si>
    <t>1A</t>
  </si>
  <si>
    <t>B3:79</t>
  </si>
  <si>
    <t>1L</t>
  </si>
  <si>
    <t>B3:80</t>
  </si>
  <si>
    <t>1D</t>
  </si>
  <si>
    <t>B3:81</t>
  </si>
  <si>
    <t>1G</t>
  </si>
  <si>
    <t>B3:82</t>
  </si>
  <si>
    <t>2K</t>
  </si>
  <si>
    <t>2L</t>
  </si>
  <si>
    <t>1H</t>
  </si>
  <si>
    <t>2J</t>
  </si>
  <si>
    <t>1B</t>
  </si>
  <si>
    <t>B3:85</t>
  </si>
  <si>
    <t>1J</t>
  </si>
  <si>
    <t>2H</t>
  </si>
  <si>
    <t>1K</t>
  </si>
  <si>
    <t>B3:87</t>
  </si>
  <si>
    <t>2D</t>
  </si>
  <si>
    <t>2G</t>
  </si>
  <si>
    <t>W74</t>
  </si>
  <si>
    <t>W77</t>
  </si>
  <si>
    <t>W73</t>
  </si>
  <si>
    <t>W75</t>
  </si>
  <si>
    <t>W76</t>
  </si>
  <si>
    <t>W78</t>
  </si>
  <si>
    <t>W79</t>
  </si>
  <si>
    <t>W80</t>
  </si>
  <si>
    <t>W83</t>
  </si>
  <si>
    <t>W84</t>
  </si>
  <si>
    <t>W81</t>
  </si>
  <si>
    <t>W82</t>
  </si>
  <si>
    <t>W86</t>
  </si>
  <si>
    <t>W88</t>
  </si>
  <si>
    <t>W85</t>
  </si>
  <si>
    <t>W87</t>
  </si>
  <si>
    <t>W89</t>
  </si>
  <si>
    <t>W90</t>
  </si>
  <si>
    <t>W93</t>
  </si>
  <si>
    <t>W94</t>
  </si>
  <si>
    <t>W91</t>
  </si>
  <si>
    <t>W92</t>
  </si>
  <si>
    <t>W95</t>
  </si>
  <si>
    <t>W96</t>
  </si>
  <si>
    <t>W97</t>
  </si>
  <si>
    <t>W98</t>
  </si>
  <si>
    <t>W99</t>
  </si>
  <si>
    <t>W100</t>
  </si>
  <si>
    <t>L101</t>
  </si>
  <si>
    <t>L102</t>
  </si>
  <si>
    <t>W101</t>
  </si>
  <si>
    <t>W102</t>
  </si>
  <si>
    <t>Key</t>
  </si>
  <si>
    <t>subtitle</t>
  </si>
  <si>
    <t>&gt;&gt;&gt; WORLD CUP 2026 PREDICTOR &lt;&lt;&lt;</t>
  </si>
  <si>
    <t>&gt;&gt;&gt; PRONÓSTICO DEL MUNDIAL 2026 &lt;&lt;&lt;</t>
  </si>
  <si>
    <t>&gt;&gt;&gt; PRONOSTIQUEUR COUPE DU MONDE 2026 &lt;&lt;&lt;</t>
  </si>
  <si>
    <t>&gt;&gt;&gt; WM 2026 VORHERSAGE &lt;&lt;&lt;</t>
  </si>
  <si>
    <t>&gt;&gt;&gt; PROGNÓSTICO DA COPA DO MUNDO 2026 &lt;&lt;&lt;</t>
  </si>
  <si>
    <t>tagline</t>
  </si>
  <si>
    <t>In support of PSC Support  ·  Primary Sclerosing Cholangitis (PSC)</t>
  </si>
  <si>
    <t>En apoyo a PSC Support  ·  Colangitis Esclerosante Primaria (CEP)</t>
  </si>
  <si>
    <t>En soutien à PSC Support  ·  Cholangite Sclérosante Primitive (CSP)</t>
  </si>
  <si>
    <t>Zugunsten von PSC Support  ·  Primär Sklerosierende Cholangitis (PSC)</t>
  </si>
  <si>
    <t>Em apoio à PSC Support  ·  Colangite Esclerosante Primária (CEP)</t>
  </si>
  <si>
    <t>starts_in</t>
  </si>
  <si>
    <t>Starts in:</t>
  </si>
  <si>
    <t>Empieza en:</t>
  </si>
  <si>
    <t>Commence dans :</t>
  </si>
  <si>
    <t>Beginnt in:</t>
  </si>
  <si>
    <t>Começa em:</t>
  </si>
  <si>
    <t>kickoff_info</t>
  </si>
  <si>
    <t>11 June 2026  ·  Mexico v South Africa  ·  Estadio Azteca, Mexico City</t>
  </si>
  <si>
    <t>11 de junio de 2026  ·  México vs Sudáfrica  ·  Estadio Azteca, Ciudad de México</t>
  </si>
  <si>
    <t>11 juin 2026  ·  Mexique - Afrique du Sud  ·  Estadio Azteca, Mexico</t>
  </si>
  <si>
    <t>11. Juni 2026  ·  Mexiko - Südafrika  ·  Estadio Azteca, Mexiko-Stadt</t>
  </si>
  <si>
    <t>11 de junho de 2026  ·  México x África do Sul  ·  Estadio Azteca, Cidade do México</t>
  </si>
  <si>
    <t>welcome_hdr</t>
  </si>
  <si>
    <t>&gt;&gt;&gt; WELCOME</t>
  </si>
  <si>
    <t>&gt;&gt;&gt; BIENVENIDA</t>
  </si>
  <si>
    <t>&gt;&gt;&gt; BIENVENUE</t>
  </si>
  <si>
    <t>&gt;&gt;&gt; WILLKOMMEN</t>
  </si>
  <si>
    <t>&gt;&gt;&gt; BEM-VINDO</t>
  </si>
  <si>
    <t>welcome_body</t>
  </si>
  <si>
    <t>Welcome to our World Cup Predictor ⚽
This has been put together by me and my 10-year-old daughter as a helpful way to follow the tournament and compete with friends, family, and colleagues. Alongside the competition, we're using this as an opportunity to raise money for PSC Support, a charity that helps people living with Primary Sclerosing Cholangitis.
If you find the spreadsheet helpful, we'd really appreciate a small donation via the JustGiving link below (or head to justgiving.com and search for predictforpsc). Completely optional, but for a great cause. Please feel free to share this on.
Thanks for playing, and good luck with your predictions!
Tom</t>
  </si>
  <si>
    <t>Bienvenido a nuestro Pronóstico del Mundial ⚽
Esto lo hemos preparado mi hija de 10 años y yo como una forma útil de seguir el torneo y competir con amigos, familia y compañeros. Junto con la competición, lo estamos usando como una oportunidad para recaudar fondos para PSC Support, una organización benéfica que ayuda a las personas que viven con Colangitis Esclerosante Primaria.
Si te resulta útil la hoja, agradeceríamos mucho una pequeña donación a través del enlace de JustGiving (o entra en justgiving.com y busca predictforpsc). Totalmente opcional, pero por una gran causa. Por favor, compártelo libremente.
¡Gracias por jugar y suerte con tus pronósticos!
Tom</t>
  </si>
  <si>
    <t>Bienvenue dans notre Pronostiqueur de la Coupe du Monde ⚽
Ma fille de 10 ans et moi avons réalisé ce document pour suivre le tournoi et concourir avec amis, famille et collègues. À côté du jeu, nous l'utilisons comme une occasion de récolter des fonds pour PSC Support, une association qui aide les personnes vivant avec la Cholangite Sclérosante Primitive.
Si la feuille vous est utile, un petit don via le lien JustGiving serait très apprécié (ou allez sur justgiving.com et cherchez predictforpsc). Totalement facultatif, mais pour une belle cause. N'hésitez pas à partager.
Merci de jouer et bonne chance avec vos pronostics !
Tom</t>
  </si>
  <si>
    <t>Willkommen zu unserer WM-Vorhersage ⚽
Ich habe das zusammen mit meiner 10-jährigen Tochter erstellt — eine hilfreiche Art, das Turnier zu verfolgen und mit Freunden, Familie und Kollegen zu wetteifern. Neben dem Wettbewerb nutzen wir es als Gelegenheit, Spenden für PSC Support zu sammeln, eine Wohltätigkeitsorganisation, die Menschen mit Primär Sklerosierender Cholangitis hilft.
Wenn dir die Tabelle hilft, würden wir uns über eine kleine Spende über den JustGiving-Link sehr freuen (oder besuche justgiving.com und suche nach predictforpsc). Völlig freiwillig, aber für einen guten Zweck. Bitte gerne weiterteilen.
Danke fürs Mitspielen und viel Glück mit deinen Tipps!
Tom</t>
  </si>
  <si>
    <t>Bem-vindo ao nosso Prognóstico da Copa do Mundo ⚽
Eu e minha filha de 10 anos preparamos isso como uma forma útil de acompanhar o torneio e competir com amigos, família e colegas. Junto com a competição, estamos usando isso como uma oportunidade para arrecadar dinheiro para a PSC Support, uma instituição de caridade que ajuda pessoas que vivem com Colangite Esclerosante Primária.
Se a planilha for útil, agradeceríamos muito uma pequena doação pelo link do JustGiving (ou acesse justgiving.com e procure por predictforpsc). Totalmente opcional, mas por uma ótima causa. Compartilhe à vontade.
Obrigado por jogar e boa sorte com seus palpites!
Tom</t>
  </si>
  <si>
    <t>get_started</t>
  </si>
  <si>
    <t>&gt;&gt;&gt; GET STARTED</t>
  </si>
  <si>
    <t>&gt;&gt;&gt; EMPEZAR</t>
  </si>
  <si>
    <t>&gt;&gt;&gt; COMMENCER</t>
  </si>
  <si>
    <t>&gt;&gt;&gt; LOSLEGEN</t>
  </si>
  <si>
    <t>&gt;&gt;&gt; COMEÇAR</t>
  </si>
  <si>
    <t>btn_copy</t>
  </si>
  <si>
    <t>▶  MAKE YOUR COPY</t>
  </si>
  <si>
    <t>▶  HACER UNA COPIA</t>
  </si>
  <si>
    <t>▶  FAIRE UNE COPIE</t>
  </si>
  <si>
    <t>▶  KOPIE ERSTELLEN</t>
  </si>
  <si>
    <t>▶  FAZER UMA CÓPIA</t>
  </si>
  <si>
    <t>btn_donate</t>
  </si>
  <si>
    <t>♥ DONATE TO PSC SUPPORT</t>
  </si>
  <si>
    <t>♥  DONAR A PSC SUPPORT</t>
  </si>
  <si>
    <t>♥  FAIRE UN DON À PSC SUPPORT</t>
  </si>
  <si>
    <t>♥  AN PSC SUPPORT SPENDEN</t>
  </si>
  <si>
    <t>♥  DOAR PARA PSC SUPPORT</t>
  </si>
  <si>
    <t>btn_share</t>
  </si>
  <si>
    <t>↗  SHARE THIS PREDICTOR</t>
  </si>
  <si>
    <t>↗  COMPARTIR ESTE PRONÓSTICO</t>
  </si>
  <si>
    <t>↗  PARTAGER CE PRONOSTIQUEUR</t>
  </si>
  <si>
    <t>↗  DIESEN TIPP TEILEN</t>
  </si>
  <si>
    <t>↗  COMPARTILHAR ESTE PROGNÓSTICO</t>
  </si>
  <si>
    <t>btn_donate_now</t>
  </si>
  <si>
    <t>♥ DONATE NOW</t>
  </si>
  <si>
    <t>♥ DONAR AHORA</t>
  </si>
  <si>
    <t>♥ FAIRE UN DON</t>
  </si>
  <si>
    <t>♥ JETZT SPENDEN</t>
  </si>
  <si>
    <t>♥ DOE AGORA</t>
  </si>
  <si>
    <t>footer</t>
  </si>
  <si>
    <t>I made this with my daughter. It's free to use. If you enjoy it, please consider donating £1 or more to PSC Support  ❤️</t>
  </si>
  <si>
    <t>Lo hice con mi hija. Es gratis. Si te gusta, considera donar £1 o más a PSC Support  ❤️</t>
  </si>
  <si>
    <t>Je l'ai créé avec ma fille. C'est gratuit. Si vous l'appréciez, envisagez de donner £1 ou plus à PSC Support  ❤️</t>
  </si>
  <si>
    <t>Ich habe das mit meiner Tochter gemacht. Es ist kostenlos. Wenn es dir gefällt, spende bitte £1 oder mehr an PSC Support  ❤️</t>
  </si>
  <si>
    <t>Eu fiz isso com minha filha. É grátis. Se você gostou, considere doar £1 ou mais para a PSC Support  ❤️</t>
  </si>
  <si>
    <t>ready</t>
  </si>
  <si>
    <t>&gt;&gt;&gt; READY? LET THE PREDICTIONS BEGIN! &lt;&lt;&lt;</t>
  </si>
  <si>
    <t>&gt;&gt;&gt; LISTOS.  ¡QUE EMPIECEN LOS PRONÓSTICOS!</t>
  </si>
  <si>
    <t>&gt;&gt;&gt; PRÊT.  QUE LES PRONOSTICS COMMENCENT !</t>
  </si>
  <si>
    <t>&gt;&gt;&gt; BEREIT.  LASST DIE TIPPS BEGINNEN!</t>
  </si>
  <si>
    <t>&gt;&gt;&gt; PRONTO.  QUE COMECEM OS PALPITES!</t>
  </si>
  <si>
    <t>hu_title</t>
  </si>
  <si>
    <t>HOW TO USE</t>
  </si>
  <si>
    <t>CÓMO USAR</t>
  </si>
  <si>
    <t>MODE D'EMPLOI</t>
  </si>
  <si>
    <t>ANLEITUNG</t>
  </si>
  <si>
    <t>COMO USAR</t>
  </si>
  <si>
    <t>hu_subtitle</t>
  </si>
  <si>
    <t>Predict for PSC</t>
  </si>
  <si>
    <t>step1_t</t>
  </si>
  <si>
    <t>MAKE A COPY</t>
  </si>
  <si>
    <t>HACER UNA COPIA</t>
  </si>
  <si>
    <t>FAIRE UNE COPIE</t>
  </si>
  <si>
    <t>KOPIE ERSTELLEN</t>
  </si>
  <si>
    <t>FAZER UMA CÓPIA</t>
  </si>
  <si>
    <t>step1_b</t>
  </si>
  <si>
    <t>In Google Sheets:  File → Make a copy.  In Excel:  File → Save As.  Rename it whatever you like and save it to your own Drive or computer.</t>
  </si>
  <si>
    <t>En Google Sheets:  Archivo → Hacer una copia.  En Excel:  Archivo → Guardar como.  Renómbrala y guárdala en tu Drive o computadora.</t>
  </si>
  <si>
    <t>Dans Google Sheets : Fichier → Créer une copie.  Dans Excel : Fichier → Enregistrer sous.  Renommez-la et enregistrez-la sur votre Drive ou ordinateur.</t>
  </si>
  <si>
    <t>In Google Sheets:  Datei → Kopie erstellen.  In Excel:  Datei → Speichern unter.  Benenne sie um und speichere sie auf deinem Drive oder Computer.</t>
  </si>
  <si>
    <t>No Google Sheets:  Arquivo → Fazer uma cópia.  No Excel:  Arquivo → Salvar como.  Renomeie e salve no seu Drive ou computador.</t>
  </si>
  <si>
    <t>step2_t</t>
  </si>
  <si>
    <t>PICK YOUR TIMEZONE</t>
  </si>
  <si>
    <t>ELIGE TU ZONA HORARIA</t>
  </si>
  <si>
    <t>CHOISISSEZ VOTRE FUSEAU HORAIRE</t>
  </si>
  <si>
    <t>WÄHLE DEINE ZEITZONE</t>
  </si>
  <si>
    <t>ESCOLHA SEU FUSO HORÁRIO</t>
  </si>
  <si>
    <t>step2_b</t>
  </si>
  <si>
    <t>On every fixture / schedule sheet, top right, there is a Timezone dropdown.  Pick yours — kick-off times update everywhere.  If you select UK, the TV column auto-fills with BBC or ITV.</t>
  </si>
  <si>
    <t>En cada hoja de partidos / calendario, arriba a la derecha, hay un menú de Zona Horaria.  Elige la tuya — las horas de inicio se actualizan en todas partes.  Si eliges UK, la columna TV se rellena con BBC o ITV.</t>
  </si>
  <si>
    <t>Sur chaque feuille de matchs/calendrier, en haut à droite, il y a un menu Fuseau horaire.  Choisissez le vôtre — les heures se mettent à jour partout.  Si vous sélectionnez UK, la colonne TV se remplit avec BBC ou ITV.</t>
  </si>
  <si>
    <t>Auf jedem Spielplan, oben rechts, gibt es ein Zeitzonen-Dropdown.  Wähle deine — die Anstoßzeiten aktualisieren sich überall.  Wenn du UK auswählst, füllt sich die TV-Spalte mit BBC oder ITV.</t>
  </si>
  <si>
    <t>Em cada folha de jogos/agenda, no canto superior direito, há um menu de Fuso horário.  Escolha o seu — os horários se atualizam em todos os lugares.  Se selecionar UK, a coluna TV mostra BBC ou ITV.</t>
  </si>
  <si>
    <t>step3_t</t>
  </si>
  <si>
    <t>ENTER YOUR PREDICTIONS</t>
  </si>
  <si>
    <t>INTRODUCE TUS PRONÓSTICOS</t>
  </si>
  <si>
    <t>SAISISSEZ VOS PRONOSTICS</t>
  </si>
  <si>
    <t>GIB DEINE TIPPS EIN</t>
  </si>
  <si>
    <t>INSIRA SEUS PALPITES</t>
  </si>
  <si>
    <t>step3_b</t>
  </si>
  <si>
    <t>Open the Predictions &amp; Results tab.  Type your predicted home / away score in the green cells.  Group standings recalculate automatically.  Top 2 from each group + 8 best 3rd-placed teams advance to the Round of 32. Scoring:  0 points for a wrong outcome.  1 point for the correct outcome (home win / draw / away win).  3 points for an exact scoreline.</t>
  </si>
  <si>
    <t>Abre la pestaña Predictions &amp; Results.  Escribe tu pronóstico local / visitante en las celdas verdes.  Las clasificaciones se recalculan automáticamente.  Los 2 primeros de cada grupo + los 8 mejores terceros pasan a los octavos de 32.
Puntuación:  0 puntos por un resultado incorrecto.  1 punto por acertar el resultado (victoria local / empate / victoria visitante).  3 puntos por acertar el marcador exacto.</t>
  </si>
  <si>
    <t>Ouvrez l'onglet Predictions &amp; Results.  Saisissez votre pronostic domicile / extérieur dans les cellules vertes.  Les classements se recalculent automatiquement.  Les 2 premiers de chaque groupe + les 8 meilleurs troisièmes accèdent au tour de 32.
Points :  0 point pour un résultat incorrect.  1 point pour le bon résultat (victoire à domicile / match nul / victoire à l'extérieur).  3 points pour le score exact.</t>
  </si>
  <si>
    <t>Öffne den Reiter Predictions &amp; Results.  Trage deinen Tipp Heim / Auswärts in die grünen Zellen ein.  Die Tabellen werden automatisch neu berechnet.  Top 2 jeder Gruppe + 8 beste Drittplatzierte erreichen die Runde der letzten 32.
Punktevergabe:  0 Punkte für ein falsches Ergebnis.  1 Punkt für das richtige Ergebnis (Heimsieg / Unentschieden / Auswärtssieg).  3 Punkte für das exakte Resultat.</t>
  </si>
  <si>
    <t>Abra a aba Predictions &amp; Results.  Digite seu palpite de casa/fora nas células verdes.  As classificações se recalculam automaticamente.  Os 2 primeiros de cada grupo + os 8 melhores terceiros vão para os 16 avos.
Pontuação:  0 pontos por um resultado errado.  1 ponto pelo resultado correto (vitória em casa / empate / vitória fora).  3 pontos pelo placar exato.</t>
  </si>
  <si>
    <t>step4_t</t>
  </si>
  <si>
    <t>ADD ACTUAL SCORES AS THEY HAPPEN</t>
  </si>
  <si>
    <t>AÑADE LOS RESULTADOS REALES</t>
  </si>
  <si>
    <t>AJOUTEZ LES SCORES RÉELS</t>
  </si>
  <si>
    <t>TRAGE DIE ECHTEN ERGEBNISSE EIN</t>
  </si>
  <si>
    <t>ADICIONE OS RESULTADOS REAIS</t>
  </si>
  <si>
    <t>step4_b</t>
  </si>
  <si>
    <t>When a real result is in, type it into the 'Actual' columns.  Actual overrides Predicted in every downstream calculation — but your prediction stays visible for comparison.  If a knockout match is tied at the end of normal time, select the winning team from the dropdown in the 'Pens / ET winner' column so the bracket advances.</t>
  </si>
  <si>
    <t>Cuando llegue un resultado real, escríbelo en las columnas 'Actual'.  Actual sobrescribe el pronóstico en todos los cálculos posteriores — pero tu pronóstico sigue visible para comparar.  Si una eliminatoria queda empatada, escribe el equipo ganador en la columna 'Pens / ET winner' para que el cuadro avance.</t>
  </si>
  <si>
    <t>Quand un vrai résultat tombe, saisissez-le dans les colonnes 'Actual'.  Actual écrase le pronostic dans tous les calculs — mais votre pronostic reste visible pour comparaison.  Si un match à élimination directe est à égalité, saisissez l'équipe gagnante dans la colonne 'Pens / ET winner' pour que le tableau avance.</t>
  </si>
  <si>
    <t>Wenn ein echtes Ergebnis vorliegt, trage es in die Spalten 'Actual' ein.  Actual überschreibt den Tipp in allen Folgeberechnungen — dein Tipp bleibt aber zum Vergleich sichtbar.  Wenn ein K.o.-Spiel nach regulärer Spielzeit unentschieden steht, trage das Siegerteam in die Spalte 'Pens / ET winner' ein, damit das Tableau voranschreitet.</t>
  </si>
  <si>
    <t>Quando um resultado real chegar, digite nas colunas 'Actual'.  Actual sobrescreve o palpite em todos os cálculos — mas seu palpite continua visível para comparação.  Se um mata-mata terminar empatado no tempo normal, digite o time vencedor na coluna 'Pens / ET winner' para o chaveamento avançar.</t>
  </si>
  <si>
    <t>step5_t</t>
  </si>
  <si>
    <t>SHARE AND DONATE</t>
  </si>
  <si>
    <t>COMPARTE Y DONA</t>
  </si>
  <si>
    <t>PARTAGEZ ET FAITES UN DON</t>
  </si>
  <si>
    <t>TEILEN UND SPENDEN</t>
  </si>
  <si>
    <t>COMPARTILHE E DOE</t>
  </si>
  <si>
    <t>step5_b</t>
  </si>
  <si>
    <t>Share this with friends, family, colleagues.  All donations go directly to PSC Support — JustGiving handles payment.  Even £1 helps.</t>
  </si>
  <si>
    <t>Envía el archivo a amigos, familia y colegas.  Todas las donaciones van directamente a PSC Support — JustGiving gestiona el pago.  Incluso £1 ayuda.</t>
  </si>
  <si>
    <t>Envoyez le fichier à vos proches et collègues.  Tous les dons vont directement à PSC Support — JustGiving gère le paiement.  Même £1 aide.</t>
  </si>
  <si>
    <t>Sende die Datei an Freunde, Familie, Kollegen.  Alle Spenden gehen direkt an PSC Support — JustGiving wickelt die Zahlung ab.  Auch £1 hilft.</t>
  </si>
  <si>
    <t>Envie o arquivo para amigos, família e colegas.  Todas as doações vão direto para a PSC Support — o JustGiving processa o pagamento.  Mesmo £1 já ajuda.</t>
  </si>
  <si>
    <t>gt_title</t>
  </si>
  <si>
    <t>&gt;&gt;&gt; GROUP TABLES</t>
  </si>
  <si>
    <t>&gt;&gt;&gt; GRUPOS</t>
  </si>
  <si>
    <t>&gt;&gt;&gt; PHASE DE GROUPES</t>
  </si>
  <si>
    <t>&gt;&gt;&gt; GRUPPENTABELLEN</t>
  </si>
  <si>
    <t>&gt;&gt;&gt; TABELAS DOS GRUPOS</t>
  </si>
  <si>
    <t>gt_subtitle</t>
  </si>
  <si>
    <t>Auto-calculated from your scores in the Predictions &amp; Results tab</t>
  </si>
  <si>
    <t>Calculadas a partir de tus resultados en la pestaña Predictions &amp; Results</t>
  </si>
  <si>
    <t>Calculé à partir de vos scores dans l'onglet Predictions &amp; Results</t>
  </si>
  <si>
    <t>Automatisch berechnet aus deinen Ergebnissen im Predictions &amp; Results-Reiter</t>
  </si>
  <si>
    <t>Calculadas a partir dos seus placares na aba Predictions &amp; Results</t>
  </si>
  <si>
    <t>fx_title</t>
  </si>
  <si>
    <t>&gt;&gt;&gt; PREDICTIONS AND RESULTS</t>
  </si>
  <si>
    <t>&gt;&gt;&gt; PRONÓSTICOS Y RESULTADOS</t>
  </si>
  <si>
    <t>&gt;&gt;&gt; PRONOSTICS ET RÉSULTATS</t>
  </si>
  <si>
    <t>&gt;&gt;&gt; TIPPS UND ERGEBNISSE</t>
  </si>
  <si>
    <t>&gt;&gt;&gt; PALPITES E RESULTADOS</t>
  </si>
  <si>
    <t>hw_title</t>
  </si>
  <si>
    <t xml:space="preserve"> &gt;&gt;&gt; HOW TO USE </t>
  </si>
  <si>
    <t xml:space="preserve"> &gt;&gt;&gt; CÓMO USAR </t>
  </si>
  <si>
    <t xml:space="preserve"> &gt;&gt;&gt; MODE D'EMPLOI </t>
  </si>
  <si>
    <t xml:space="preserve"> &gt;&gt;&gt; ANLEITUNG </t>
  </si>
  <si>
    <t xml:space="preserve"> &gt;&gt;&gt; COMO USAR </t>
  </si>
  <si>
    <t>fx_subtitle</t>
  </si>
  <si>
    <t>Enter your predicted + actual scores in the yellow cells</t>
  </si>
  <si>
    <t>Introduce tus pronósticos y resultados reales en las celdas amarillas</t>
  </si>
  <si>
    <t>Saisissez vos pronostics et scores réels dans les cellules jaunes</t>
  </si>
  <si>
    <t>Trage Tipps und echte Ergebnisse in die gelben Zellen ein</t>
  </si>
  <si>
    <t>Insira palpites e placares reais nas células amarelas</t>
  </si>
  <si>
    <t>ds_title</t>
  </si>
  <si>
    <t>&gt;&gt;&gt; DAILY SCHEDULE</t>
  </si>
  <si>
    <t>&gt;&gt;&gt; CALENDARIO DIARIO</t>
  </si>
  <si>
    <t>&gt;&gt;&gt; CALENDRIER QUOTIDIEN</t>
  </si>
  <si>
    <t>&gt;&gt;&gt; TAGESPLAN</t>
  </si>
  <si>
    <t>&gt;&gt;&gt; AGENDA DIÁRIA</t>
  </si>
  <si>
    <t>ds_subtitle</t>
  </si>
  <si>
    <t>All 104 matches in chronological order</t>
  </si>
  <si>
    <t>Los 104 partidos en orden cronológico</t>
  </si>
  <si>
    <t>Les 104 matchs par ordre chronologique</t>
  </si>
  <si>
    <t>Alle 104 Spiele in chronologischer Reihenfolge</t>
  </si>
  <si>
    <t>Os 104 jogos em ordem cronológica</t>
  </si>
  <si>
    <t>tc_title</t>
  </si>
  <si>
    <t xml:space="preserve"> &gt;&gt;&gt; THE CAUSE</t>
  </si>
  <si>
    <t xml:space="preserve"> &gt;&gt;&gt; LA CAUSA</t>
  </si>
  <si>
    <t xml:space="preserve"> &gt;&gt;&gt; LA CAUSE</t>
  </si>
  <si>
    <t xml:space="preserve"> &gt;&gt;&gt; DIE SACHE</t>
  </si>
  <si>
    <t xml:space="preserve"> &gt;&gt;&gt; A CAUSA</t>
  </si>
  <si>
    <t>tc_subtitle</t>
  </si>
  <si>
    <t>Why we made this  ·  How you can help</t>
  </si>
  <si>
    <t>Por qué lo hicimos  ·  Cómo puedes ayudar</t>
  </si>
  <si>
    <t>Pourquoi nous l'avons fait  ·  Comment vous pouvez aider</t>
  </si>
  <si>
    <t>Warum wir das gemacht haben  ·  Wie du helfen kannst</t>
  </si>
  <si>
    <t>Por que fizemos isso  ·  Como você pode ajudar</t>
  </si>
  <si>
    <t>tc_body</t>
  </si>
  <si>
    <t>My daughter is 10 years old.
She's kind and fierce. She's been a leader of humans since the day she was born.
She loves dancing, singing, and playing football (she's a goalkeeper). Her favourite team is Arsenal, and her favourite player is Hannah Hampton.
She also lives with Primary Sclerosing Cholangitis (PSC). You can find out more at pscsupport.org.uk.
That's why we made this, and why we're raising money for PSC Support.
If you've enjoyed using the predictor, please consider donating and sharing, wherever football fans are.
https://www.justgiving.com/page/predictforpsc</t>
  </si>
  <si>
    <t>Mi hija tiene 10 años.
Es amable y feroz. Ha sido líder de humanos desde el día en que nació.
Le encanta bailar, cantar y jugar al fútbol (es portera). Su equipo favorito es el Arsenal y su jugadora favorita es Hannah Hampton.
También vive con Colangitis Esclerosante Primaria (CEP). Más información en pscsupport.org.uk.
Por eso hicimos esto, y por eso recaudamos para PSC Support.
Si has disfrutado usando el predictor, por favor considera donar y compartir, donde quiera que haya aficionados al fútbol.
https://www.justgiving.com/page/predictforpsc</t>
  </si>
  <si>
    <t>Ma fille a 10 ans.
Elle est douce et combative. Elle dirige les humains depuis le jour de sa naissance.
Elle adore danser, chanter et jouer au football (c'est une gardienne de but). Son équipe préférée est Arsenal et sa joueuse préférée est Hannah Hampton.
Elle vit aussi avec une Cholangite Sclérosante Primitive (CSP). Plus d'infos sur pscsupport.org.uk.
Voilà pourquoi nous avons fait ça et pourquoi nous récoltons pour PSC Support.
Si vous avez apprécié utiliser le prédicteur, envisagez de faire un don et de le partager partout où il y a des fans de football.
https://www.justgiving.com/page/predictforpsc</t>
  </si>
  <si>
    <t>Meine Tochter ist 10 Jahre alt.
Sie ist liebevoll und entschlossen. Sie ist seit ihrer Geburt eine Anführerin.
Sie liebt Tanzen, Singen und Fußball spielen (sie ist Torhüterin). Ihr Lieblingsverein ist Arsenal, ihre Lieblingsspielerin Hannah Hampton.
Sie lebt außerdem mit Primär Sklerosierender Cholangitis (PSC). Mehr unter pscsupport.org.uk.
Deshalb haben wir das gemacht, und deshalb sammeln wir für PSC Support.
Wenn dir der Predictor gefallen hat, denk bitte über eine Spende und das Teilen nach — überall, wo Fußballfans sind.
https://www.justgiving.com/page/predictforpsc</t>
  </si>
  <si>
    <t>Minha filha tem 10 anos.
Ela é gentil e feroz. Ela é líder de humanos desde o dia em que nasceu.
Ela adora dançar, cantar e jogar futebol (é goleira). O time favorito dela é o Arsenal, e a jogadora favorita é Hannah Hampton.
Ela também vive com Colangite Esclerosante Primária (CEP). Saiba mais em pscsupport.org.uk.
Por isso fizemos isso, e por isso arrecadamos para a PSC Support.
Se você gostou de usar o predictor, por favor considere doar e compartilhar, onde quer que haja torcedores de futebol.
https://www.justgiving.com/page/predictforpsc</t>
  </si>
  <si>
    <t>charity_info</t>
  </si>
  <si>
    <t>©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t>
  </si>
  <si>
    <t>© 2026 Tom Edwards. Libre de compartir para uso no comercial bajo CC BY-NC 4.0. Si lo republicas, por favor da crédito al original y mantén el enlace de donación a PSC Support. Los nombres Copa del Mundo 2026, BBC e ITV pertenecen a sus respectivos propietarios — usados aquí solo para comentario no comercial.
Esta es una recaudación personal en apoyo a PSC Support (www.pscsupport.org.uk, organización benéfica registrada n.º 1175427). Todas las donaciones se hacen directamente a PSC Support a través de JustGiving; el creador de la hoja no recibe fondos. Los datos de los partidos provienen de fuentes públicas; no se garantiza la exactitud.</t>
  </si>
  <si>
    <t>© 2026 Tom Edwards. Libre de partage pour usage non commercial sous CC BY-NC 4.0. Si vous le republiez, merci de créditer l'original et de conserver le lien de don vers PSC Support. Les noms Coupe du Monde 2026, BBC et ITV appartiennent à leurs propriétaires respectifs — utilisés ici uniquement pour commentaire non commercial.
Ceci est une collecte personnelle en soutien à PSC Support (www.pscsupport.org.uk, association caritative n° 1175427). Tous les dons vont directement à PSC Support via JustGiving ; le créateur de la feuille ne reçoit aucun fonds. Les données des matchs proviennent de sources publiques ; l'exactitude n'est pas garantie.</t>
  </si>
  <si>
    <t>© 2026 Tom Edwards. Frei zum Teilen für nicht-kommerzielle Nutzung unter CC BY-NC 4.0. Bei Wiederveröffentlichung bitte das Original nennen und den Spendenlink zu PSC Support beibehalten. Die Namen Weltmeisterschaft 2026, BBC und ITV gehören ihren jeweiligen Eigentümern — hier nur für nicht-kommerziellen Kommentar verwendet.
Dies ist eine private Spendenaktion zugunsten von PSC Support (www.pscsupport.org.uk, eingetragene Wohltätigkeitsorganisation Nr. 1175427). Alle Spenden gehen direkt an PSC Support über JustGiving; der Ersteller der Tabelle erhält keine Mittel. Die Spieldaten stammen aus öffentlich verfügbaren Quellen; die Richtigkeit wird nicht garantiert.</t>
  </si>
  <si>
    <t>© 2026 Tom Edwards. Livre para compartilhar para uso não comercial sob CC BY-NC 4.0. Se você republicar, por favor credite o original e mantenha o link de doação para a PSC Support. Os nomes Copa do Mundo 2026, BBC e ITV pertencem aos seus respectivos donos — usados aqui apenas para comentário não comercial.
Esta é uma arrecadação pessoal em apoio à PSC Support (www.pscsupport.org.uk, instituição registrada n.º 1175427). Todas as doações vão diretamente para a PSC Support via JustGiving; o criador da planilha não recebe fundos. Os dados dos jogos vêm de fontes públicas; a precisão não é garantida.</t>
  </si>
  <si>
    <t>lang_label</t>
  </si>
  <si>
    <t>Language:</t>
  </si>
  <si>
    <t>Idioma:</t>
  </si>
  <si>
    <t>Langue :</t>
  </si>
  <si>
    <t>Sprache:</t>
  </si>
  <si>
    <t>tz_label</t>
  </si>
  <si>
    <t>Timezone:</t>
  </si>
  <si>
    <t>Zona horaria:</t>
  </si>
  <si>
    <t>Fuseau horaire :</t>
  </si>
  <si>
    <t>Zeitzone:</t>
  </si>
  <si>
    <t>Fuso horário:</t>
  </si>
  <si>
    <t>big_hope_hdr</t>
  </si>
  <si>
    <t xml:space="preserve"> &gt;&gt;&gt; THE BIG HOPE</t>
  </si>
  <si>
    <t>&gt;&gt;&gt; LA GRAN ESPERANZA</t>
  </si>
  <si>
    <t>&gt;&gt;&gt; LE GRAND ESPOIR</t>
  </si>
  <si>
    <t>&gt;&gt;&gt; DIE GROSSE HOFFNUNG</t>
  </si>
  <si>
    <t>&gt;&gt;&gt; A GRANDE ESPERANÇA</t>
  </si>
  <si>
    <t>big_hope_l1</t>
  </si>
  <si>
    <t>If 0.00005% of fans gave £10 → £2,500</t>
  </si>
  <si>
    <t>Si 0,00005% de los aficionados dieran £10 → £2.500</t>
  </si>
  <si>
    <t>Si 0,00005% des fans donnaient £10 → £2 500</t>
  </si>
  <si>
    <t>Wenn 0,00005% der Fans £10 spendeten → £2.500</t>
  </si>
  <si>
    <t>Se 0,00005% dos torcedores doassem £10 → £2.500</t>
  </si>
  <si>
    <t>big_hope_l11</t>
  </si>
  <si>
    <t>If 0.00002% gave £5 → £5,000</t>
  </si>
  <si>
    <t>Si 0,00002% dieran £5 → £5.000</t>
  </si>
  <si>
    <t>Si 0,00002% donnaient £5 → £5 000</t>
  </si>
  <si>
    <t>Wenn 0,00002% £5 spenden würden → £5.000</t>
  </si>
  <si>
    <t>Se 0,00002% doassem £5 → £5.000</t>
  </si>
  <si>
    <t>big_hope_l2</t>
  </si>
  <si>
    <t>If 0.02% gave £1 → £1,000,000</t>
  </si>
  <si>
    <t>Si el 0.02% diera £1 → £1,000,000</t>
  </si>
  <si>
    <t>Si 0,02% donnaient £1 → £1 000 000</t>
  </si>
  <si>
    <t>Wenn 0,02% £1 spenden → £1.000.000</t>
  </si>
  <si>
    <t>Se 0,02% doassem £1 → £1.000.000</t>
  </si>
  <si>
    <t>big_hope_l3</t>
  </si>
  <si>
    <t>Let's see what we can do.</t>
  </si>
  <si>
    <t>Vamos a ver qué podemos hacer.</t>
  </si>
  <si>
    <t>Voyons ce qu'on peut faire.</t>
  </si>
  <si>
    <t>Mal sehen, was wir schaffen.</t>
  </si>
  <si>
    <t>Vamos ver o que podemos fazer.</t>
  </si>
  <si>
    <t>big_hope_l4</t>
  </si>
  <si>
    <t>THAT'S £1,000,000  :)</t>
  </si>
  <si>
    <t>ESO ES £1,000,000  :)</t>
  </si>
  <si>
    <t>C'EST £1 000 000  :)</t>
  </si>
  <si>
    <t>DAS SIND £1.000.000  :)</t>
  </si>
  <si>
    <t>ISSO É £1.000.000  :)</t>
  </si>
  <si>
    <t>upcoming_hdr</t>
  </si>
  <si>
    <t xml:space="preserve"> &gt;&gt;&gt; UPCOMING</t>
  </si>
  <si>
    <t>&gt;&gt;&gt; PRÓXIMOS</t>
  </si>
  <si>
    <t>&gt;&gt;&gt; À VENIR</t>
  </si>
  <si>
    <t>&gt;&gt;&gt; NÄCHSTE</t>
  </si>
  <si>
    <t>every_donation</t>
  </si>
  <si>
    <t>Every donation makes a difference 🙏</t>
  </si>
  <si>
    <t>Cada donación marca la diferencia 🙏</t>
  </si>
  <si>
    <t>Chaque don fait la différence 🙏</t>
  </si>
  <si>
    <t>Jede Spende macht einen Unterschied 🙏</t>
  </si>
  <si>
    <t>Cada doação faz a diferença 🙏</t>
  </si>
  <si>
    <t>full_fixtures</t>
  </si>
  <si>
    <t>Full fixtures in Daily Schedule 🤓</t>
  </si>
  <si>
    <t>Calendario completo en la hoja Daily Schedule 🤓</t>
  </si>
  <si>
    <t>Calendrier complet dans l'onglet Daily Schedule 🤓</t>
  </si>
  <si>
    <t>Alle Spiele im Reiter Daily Schedule 🤓</t>
  </si>
  <si>
    <t>Jogos completos na aba Daily Schedule 🤓</t>
  </si>
  <si>
    <t>days</t>
  </si>
  <si>
    <t>DAYS</t>
  </si>
  <si>
    <t>DÍAS</t>
  </si>
  <si>
    <t>JOURS</t>
  </si>
  <si>
    <t>TAGE</t>
  </si>
  <si>
    <t>DIAS</t>
  </si>
  <si>
    <t>hours</t>
  </si>
  <si>
    <t>HOURS</t>
  </si>
  <si>
    <t>HORAS</t>
  </si>
  <si>
    <t>HEURES</t>
  </si>
  <si>
    <t>STUNDEN</t>
  </si>
  <si>
    <t>mins</t>
  </si>
  <si>
    <t>MINS</t>
  </si>
  <si>
    <t>MIN</t>
  </si>
  <si>
    <t>kickoff_now</t>
  </si>
  <si>
    <t>KICK-OFF!</t>
  </si>
  <si>
    <t>¡INICIO!</t>
  </si>
  <si>
    <t>COUP D'ENVOI !</t>
  </si>
  <si>
    <t>ANPFIFF!</t>
  </si>
  <si>
    <t>PONTAPÉ INICIAL!</t>
  </si>
  <si>
    <t>wc_kickoff_hdr</t>
  </si>
  <si>
    <t>&gt;&gt;&gt; KICK-OFF IN &lt;&lt;&lt;</t>
  </si>
  <si>
    <t>&gt;&gt;&gt; INICIO EN &lt;&lt;&lt;</t>
  </si>
  <si>
    <t>&gt;&gt;&gt; COUP D'ENVOI DANS &lt;&lt;&lt;</t>
  </si>
  <si>
    <t>&gt;&gt;&gt; ANSTOSS IN &lt;&lt;&lt;</t>
  </si>
  <si>
    <t>&gt;&gt;&gt; PONTAPÉ INICIAL EM &lt;&lt;&lt;</t>
  </si>
  <si>
    <t>win_suffix</t>
  </si>
  <si>
    <t xml:space="preserve"> win</t>
  </si>
  <si>
    <t xml:space="preserve"> gana</t>
  </si>
  <si>
    <t xml:space="preserve"> gagne</t>
  </si>
  <si>
    <t xml:space="preserve"> gewinnt</t>
  </si>
  <si>
    <t xml:space="preserve"> vence</t>
  </si>
  <si>
    <t>draw</t>
  </si>
  <si>
    <t>Draw</t>
  </si>
  <si>
    <t>Empate</t>
  </si>
  <si>
    <t>Match nul</t>
  </si>
  <si>
    <t>Unentschieden</t>
  </si>
  <si>
    <t>on_pens_suf</t>
  </si>
  <si>
    <t xml:space="preserve"> on pens</t>
  </si>
  <si>
    <t xml:space="preserve"> en penaltis</t>
  </si>
  <si>
    <t xml:space="preserve"> aux tirs au but</t>
  </si>
  <si>
    <t xml:space="preserve"> im Elfmeterschießen</t>
  </si>
  <si>
    <t xml:space="preserve"> nos pênaltis</t>
  </si>
  <si>
    <t>hdr_match</t>
  </si>
  <si>
    <t>hdr_date</t>
  </si>
  <si>
    <t>DATE</t>
  </si>
  <si>
    <t>Fecha</t>
  </si>
  <si>
    <t>Date</t>
  </si>
  <si>
    <t>Datum</t>
  </si>
  <si>
    <t>Data</t>
  </si>
  <si>
    <t>hdr_day</t>
  </si>
  <si>
    <t>Día</t>
  </si>
  <si>
    <t>Jour</t>
  </si>
  <si>
    <t>Tag</t>
  </si>
  <si>
    <t>Dia</t>
  </si>
  <si>
    <t>hdr_kickoff</t>
  </si>
  <si>
    <t>KO</t>
  </si>
  <si>
    <t>Inicio</t>
  </si>
  <si>
    <t>Coup d'envoi</t>
  </si>
  <si>
    <t>Anstoß</t>
  </si>
  <si>
    <t>Início</t>
  </si>
  <si>
    <t>hdr_round</t>
  </si>
  <si>
    <t>ROUND</t>
  </si>
  <si>
    <t>Ronda</t>
  </si>
  <si>
    <t>Tour</t>
  </si>
  <si>
    <t>Runde</t>
  </si>
  <si>
    <t>Fase</t>
  </si>
  <si>
    <t>hdr_round_grp</t>
  </si>
  <si>
    <t>Rnd/Grp</t>
  </si>
  <si>
    <t>Ronda/Grp</t>
  </si>
  <si>
    <t>Tour/Grp</t>
  </si>
  <si>
    <t>Runde/Gr.</t>
  </si>
  <si>
    <t>Fase/Grp</t>
  </si>
  <si>
    <t>hdr_home</t>
  </si>
  <si>
    <t>HOME</t>
  </si>
  <si>
    <t>Local</t>
  </si>
  <si>
    <t>Domicile</t>
  </si>
  <si>
    <t>Heim</t>
  </si>
  <si>
    <t>Casa</t>
  </si>
  <si>
    <t>hdr_away</t>
  </si>
  <si>
    <t>AWAY</t>
  </si>
  <si>
    <t>Visitante</t>
  </si>
  <si>
    <t>Extérieur</t>
  </si>
  <si>
    <t>Auswärts</t>
  </si>
  <si>
    <t>Fora</t>
  </si>
  <si>
    <t>hdr_stadium</t>
  </si>
  <si>
    <t>STADIUM</t>
  </si>
  <si>
    <t>Estadio</t>
  </si>
  <si>
    <t>Stade</t>
  </si>
  <si>
    <t>Stadion</t>
  </si>
  <si>
    <t>Estádio</t>
  </si>
  <si>
    <t>hdr_city</t>
  </si>
  <si>
    <t>CITY</t>
  </si>
  <si>
    <t>Ciudad</t>
  </si>
  <si>
    <t>Ville</t>
  </si>
  <si>
    <t>Stadt</t>
  </si>
  <si>
    <t>Cidade</t>
  </si>
  <si>
    <t>hdr_cap</t>
  </si>
  <si>
    <t>CAP</t>
  </si>
  <si>
    <t>Cap.</t>
  </si>
  <si>
    <t>Kap.</t>
  </si>
  <si>
    <t>hdr_pred_h</t>
  </si>
  <si>
    <t>Pred H</t>
  </si>
  <si>
    <t>Pron L</t>
  </si>
  <si>
    <t>Pron D</t>
  </si>
  <si>
    <t>Tipp H</t>
  </si>
  <si>
    <t>Pal C</t>
  </si>
  <si>
    <t>hdr_pred_a</t>
  </si>
  <si>
    <t>Pred A</t>
  </si>
  <si>
    <t>Pron V</t>
  </si>
  <si>
    <t>Pron E</t>
  </si>
  <si>
    <t>Tipp A</t>
  </si>
  <si>
    <t>Pal F</t>
  </si>
  <si>
    <t>hdr_act_h</t>
  </si>
  <si>
    <t>Act H</t>
  </si>
  <si>
    <t>Real L</t>
  </si>
  <si>
    <t>Réel D</t>
  </si>
  <si>
    <t>Echt H</t>
  </si>
  <si>
    <t>Real C</t>
  </si>
  <si>
    <t>hdr_act_a</t>
  </si>
  <si>
    <t>Act A</t>
  </si>
  <si>
    <t>Real V</t>
  </si>
  <si>
    <t>Réel E</t>
  </si>
  <si>
    <t>Echt A</t>
  </si>
  <si>
    <t>Real F</t>
  </si>
  <si>
    <t>hdr_eff_h</t>
  </si>
  <si>
    <t>Eff H</t>
  </si>
  <si>
    <t>Ef L</t>
  </si>
  <si>
    <t>Eff D</t>
  </si>
  <si>
    <t>Ef H</t>
  </si>
  <si>
    <t>Ef C</t>
  </si>
  <si>
    <t>hdr_eff_a</t>
  </si>
  <si>
    <t>Eff A</t>
  </si>
  <si>
    <t>Ef V</t>
  </si>
  <si>
    <t>Eff E</t>
  </si>
  <si>
    <t>Ef A</t>
  </si>
  <si>
    <t>Ef F</t>
  </si>
  <si>
    <t>hdr_played</t>
  </si>
  <si>
    <t>PLAYED</t>
  </si>
  <si>
    <t>Jugado</t>
  </si>
  <si>
    <t>Joué</t>
  </si>
  <si>
    <t>Gespielt</t>
  </si>
  <si>
    <t>Jogado</t>
  </si>
  <si>
    <t>hdr_result</t>
  </si>
  <si>
    <t>RESULT</t>
  </si>
  <si>
    <t>Resultado</t>
  </si>
  <si>
    <t>Résultat</t>
  </si>
  <si>
    <t>Ergebnis</t>
  </si>
  <si>
    <t>hdr_tv</t>
  </si>
  <si>
    <t>TV (UK)</t>
  </si>
  <si>
    <t>hdr_pens</t>
  </si>
  <si>
    <t>PENS/ET WINNER</t>
  </si>
  <si>
    <t>Pen / Pro. Gan.</t>
  </si>
  <si>
    <t>Tab / Prol. Vainq.</t>
  </si>
  <si>
    <t>Elf / Verl. Sieger</t>
  </si>
  <si>
    <t>Pên / PR Vencedor</t>
  </si>
  <si>
    <t>group_prefix</t>
  </si>
  <si>
    <t>GROUP</t>
  </si>
  <si>
    <t>GRUPO</t>
  </si>
  <si>
    <t>GROUPE</t>
  </si>
  <si>
    <t>GRUPPE</t>
  </si>
  <si>
    <t>hdr_team_uc</t>
  </si>
  <si>
    <t>TEAM</t>
  </si>
  <si>
    <t>EQUIPO</t>
  </si>
  <si>
    <t>ÉQUIPE</t>
  </si>
  <si>
    <t>MANNSCHAFT</t>
  </si>
  <si>
    <t>EQUIPE</t>
  </si>
  <si>
    <t>hdr_team</t>
  </si>
  <si>
    <t>SELEÇÃO</t>
  </si>
  <si>
    <t>hdr_pld</t>
  </si>
  <si>
    <t>P</t>
  </si>
  <si>
    <t>PJ</t>
  </si>
  <si>
    <t>MJ</t>
  </si>
  <si>
    <t>Sp</t>
  </si>
  <si>
    <t>hdr_p</t>
  </si>
  <si>
    <t>hdr_w</t>
  </si>
  <si>
    <t>W</t>
  </si>
  <si>
    <t>V</t>
  </si>
  <si>
    <t>S</t>
  </si>
  <si>
    <t>hdr_d</t>
  </si>
  <si>
    <t>N</t>
  </si>
  <si>
    <t>U</t>
  </si>
  <si>
    <t>hdr_l</t>
  </si>
  <si>
    <t>hdr_gf</t>
  </si>
  <si>
    <t>BP</t>
  </si>
  <si>
    <t>T+</t>
  </si>
  <si>
    <t>GP</t>
  </si>
  <si>
    <t>hdr_ga</t>
  </si>
  <si>
    <t>BC</t>
  </si>
  <si>
    <t>T-</t>
  </si>
  <si>
    <t>hdr_gd</t>
  </si>
  <si>
    <t>DG</t>
  </si>
  <si>
    <t>DB</t>
  </si>
  <si>
    <t>TD</t>
  </si>
  <si>
    <t>SG</t>
  </si>
  <si>
    <t>hdr_pts</t>
  </si>
  <si>
    <t>Pts</t>
  </si>
  <si>
    <t>Pkt</t>
  </si>
  <si>
    <t>hdr_b3rank</t>
  </si>
  <si>
    <t>B3 RANK</t>
  </si>
  <si>
    <t>Pos. 3°s</t>
  </si>
  <si>
    <t>Rang 3es</t>
  </si>
  <si>
    <t>3.-Rang</t>
  </si>
  <si>
    <t>Rk 3°s</t>
  </si>
  <si>
    <t>hdr_qual</t>
  </si>
  <si>
    <t>QUALIFIED?</t>
  </si>
  <si>
    <t>¿Clasifica?</t>
  </si>
  <si>
    <t>Qualifié ?</t>
  </si>
  <si>
    <t>Qualifiziert?</t>
  </si>
  <si>
    <t>Classificado?</t>
  </si>
  <si>
    <t>hdr_group</t>
  </si>
  <si>
    <t>GRP</t>
  </si>
  <si>
    <t>yes</t>
  </si>
  <si>
    <t>YES</t>
  </si>
  <si>
    <t>SÍ</t>
  </si>
  <si>
    <t>OUI</t>
  </si>
  <si>
    <t>JA</t>
  </si>
  <si>
    <t>SIM</t>
  </si>
  <si>
    <t>no</t>
  </si>
  <si>
    <t>NO</t>
  </si>
  <si>
    <t>NON</t>
  </si>
  <si>
    <t>NEIN</t>
  </si>
  <si>
    <t>NÃO</t>
  </si>
  <si>
    <t>best_3rd_hdr</t>
  </si>
  <si>
    <t>BEST 3RD PLACED TEAMS (top 8 advance to Round of 32)</t>
  </si>
  <si>
    <t>MEJORES 3°s CLASIFICADOS (los 8 mejores pasan a octavos de 32)</t>
  </si>
  <si>
    <t>MEILLEURS 3es (les 8 meilleurs accèdent aux 32es)</t>
  </si>
  <si>
    <t>BESTE DRITTPLATZIERTE (die 8 Besten erreichen das Achtelfinale-32)</t>
  </si>
  <si>
    <t>MELHORES 3°s COLOCADOS (os 8 melhores avançam aos 16 avos)</t>
  </si>
  <si>
    <t>slot_hdr</t>
  </si>
  <si>
    <t>&gt;&gt;&gt; R32 SLOT ASSIGNMENT  ·  unique 3rd-placed team per slot</t>
  </si>
  <si>
    <t>&gt;&gt;&gt; ASIGNACIÓN DE 32avos  ·  un único 3° por casilla</t>
  </si>
  <si>
    <t>&gt;&gt;&gt; AFFECTATION 32es  ·  un seul 3e par place</t>
  </si>
  <si>
    <t>&gt;&gt;&gt; ZUWEISUNG ACHTELFINALE-32  ·  ein 3.-Platzierter pro Slot</t>
  </si>
  <si>
    <t>&gt;&gt;&gt; ATRIBUIÇÃO 16 AVOS  ·  um 3° por vaga</t>
  </si>
  <si>
    <t>hdr_r32_match</t>
  </si>
  <si>
    <t>R32 Match</t>
  </si>
  <si>
    <t>Partido 32avos</t>
  </si>
  <si>
    <t>Match 32es</t>
  </si>
  <si>
    <t>Spiel-32</t>
  </si>
  <si>
    <t>Jogo 16-avos</t>
  </si>
  <si>
    <t>hdr_elig_grps</t>
  </si>
  <si>
    <t>Eligible groups</t>
  </si>
  <si>
    <t>Grupos elegibles</t>
  </si>
  <si>
    <t>Groupes éligibles</t>
  </si>
  <si>
    <t>Berechtigte Gruppen</t>
  </si>
  <si>
    <t>Grupos elegíveis</t>
  </si>
  <si>
    <t>hdr_picked</t>
  </si>
  <si>
    <t>Picked team</t>
  </si>
  <si>
    <t>Equipo elegido</t>
  </si>
  <si>
    <t>Équipe choisie</t>
  </si>
  <si>
    <t>Gewählte Mannschaft</t>
  </si>
  <si>
    <t>Time escolhido</t>
  </si>
  <si>
    <t>settings_title</t>
  </si>
  <si>
    <t xml:space="preserve">&gt;&gt;&gt; SETTINGS  </t>
  </si>
  <si>
    <t xml:space="preserve">&gt;&gt;&gt; AJUSTES  </t>
  </si>
  <si>
    <t xml:space="preserve">&gt;&gt;&gt; PARAMÈTRES  </t>
  </si>
  <si>
    <t xml:space="preserve">&gt;&gt;&gt; EINSTELLUNGEN  </t>
  </si>
  <si>
    <t xml:space="preserve">&gt;&gt;&gt; CONFIGURAÇÕES  </t>
  </si>
  <si>
    <t>settings_col</t>
  </si>
  <si>
    <t>Setting</t>
  </si>
  <si>
    <t>Ajuste</t>
  </si>
  <si>
    <t>Paramètre</t>
  </si>
  <si>
    <t>Einstellung</t>
  </si>
  <si>
    <t>Configuração</t>
  </si>
  <si>
    <t>value_col</t>
  </si>
  <si>
    <t>Value (default)</t>
  </si>
  <si>
    <t>Valor (predeterminado)</t>
  </si>
  <si>
    <t>Valeur (défaut)</t>
  </si>
  <si>
    <t>Wert (Standard)</t>
  </si>
  <si>
    <t>Valor (padrão)</t>
  </si>
  <si>
    <t>tz_default</t>
  </si>
  <si>
    <t>Timezone (default)</t>
  </si>
  <si>
    <t>Zona horaria (predeterminada)</t>
  </si>
  <si>
    <t>Fuseau horaire (défaut)</t>
  </si>
  <si>
    <t>Zeitzone (Standard)</t>
  </si>
  <si>
    <t>Fuso horário (padrão)</t>
  </si>
  <si>
    <t>lang_default</t>
  </si>
  <si>
    <t>Language (default)</t>
  </si>
  <si>
    <t>Idioma (predeterminado)</t>
  </si>
  <si>
    <t>Langue (défaut)</t>
  </si>
  <si>
    <t>Sprache (Standard)</t>
  </si>
  <si>
    <t>Idioma (padrão)</t>
  </si>
  <si>
    <t>eff_lang</t>
  </si>
  <si>
    <t>Effective language</t>
  </si>
  <si>
    <t>Idioma efectivo</t>
  </si>
  <si>
    <t>Langue effective</t>
  </si>
  <si>
    <t>Effektive Sprache</t>
  </si>
  <si>
    <t>Idioma efetivo</t>
  </si>
  <si>
    <t>eff_lang_code</t>
  </si>
  <si>
    <t>Effective lang code</t>
  </si>
  <si>
    <t>Código idioma efectivo</t>
  </si>
  <si>
    <t>Code langue effectif</t>
  </si>
  <si>
    <t>Effektiver Sprachcode</t>
  </si>
  <si>
    <t>Código idioma efetivo</t>
  </si>
  <si>
    <t>eff_tz</t>
  </si>
  <si>
    <t>Effective timezone</t>
  </si>
  <si>
    <t>Zona horaria efectiva</t>
  </si>
  <si>
    <t>Fuseau horaire effectif</t>
  </si>
  <si>
    <t>Effektive Zeitzone</t>
  </si>
  <si>
    <t>Fuso horário efetivo</t>
  </si>
  <si>
    <t>eff_offset</t>
  </si>
  <si>
    <t>Effective offset (h)</t>
  </si>
  <si>
    <t>Desfase efectivo (h)</t>
  </si>
  <si>
    <t>Décalage effectif (h)</t>
  </si>
  <si>
    <t>Effektiver Versatz (h)</t>
  </si>
  <si>
    <t>Deslocamento efetivo (h)</t>
  </si>
  <si>
    <t>eff_tz_code</t>
  </si>
  <si>
    <t>Effective TZ code</t>
  </si>
  <si>
    <t>Código zona horaria efectiva</t>
  </si>
  <si>
    <t>Code fuseau effectif</t>
  </si>
  <si>
    <t>Effektiver Zeitzonen-Code</t>
  </si>
  <si>
    <t>Código fuso efetivo</t>
  </si>
  <si>
    <t>tz_label_col</t>
  </si>
  <si>
    <t>TZ Label</t>
  </si>
  <si>
    <t>Etiqueta zona</t>
  </si>
  <si>
    <t>Libellé fuseau</t>
  </si>
  <si>
    <t>Zonen-Bezeichnung</t>
  </si>
  <si>
    <t>Rótulo fuso</t>
  </si>
  <si>
    <t>offset_col</t>
  </si>
  <si>
    <t>Offset (h)</t>
  </si>
  <si>
    <t>Desfase (h)</t>
  </si>
  <si>
    <t>Décalage (h)</t>
  </si>
  <si>
    <t>Versatz (h)</t>
  </si>
  <si>
    <t>Deslocamento (h)</t>
  </si>
  <si>
    <t>code_col</t>
  </si>
  <si>
    <t>Code</t>
  </si>
  <si>
    <t>Código</t>
  </si>
  <si>
    <t>language_col</t>
  </si>
  <si>
    <t>Language</t>
  </si>
  <si>
    <t>Idioma</t>
  </si>
  <si>
    <t>Langue</t>
  </si>
  <si>
    <t>Sprache</t>
  </si>
  <si>
    <t>settings_note</t>
  </si>
  <si>
    <t>HOW THE DROPDOWNS WORK
• The language dropdown is at the top right of the Kick-off home page.
  Change it there and every sheet in the workbook translates instantly.
• The timezone dropdown is on this Settings sheet (below).
  Change it and all kick-off times update on every other sheet.</t>
  </si>
  <si>
    <t>CÓMO FUNCIONAN LOS MENÚS
• El menú de idioma está arriba a la derecha en la página de inicio Kick-off.
  Cámbialo ahí y toda la hoja de cálculo se traduce al instante.
• El menú de zona horaria está en esta hoja de Ajustes (abajo).
  Cámbialo y todas las horas de inicio se actualizan en todas las hojas.</t>
  </si>
  <si>
    <t>COMMENT FONCTIONNENT LES MENUS
• Le menu de langue se trouve en haut à droite de la page d'accueil Kick-off.
  Changez-le là et tout le classeur est traduit instantanément.
• Le menu de fuseau horaire est sur cette feuille Settings (ci-dessous).
  Changez-le et toutes les heures de coup d'envoi se mettent à jour partout.</t>
  </si>
  <si>
    <t>SO FUNKTIONIEREN DIE DROPDOWNS
• Das Sprach-Dropdown ist oben rechts auf der Startseite Kick-off.
  Ändere es dort, und die gesamte Arbeitsmappe wird sofort übersetzt.
• Das Zeitzonen-Dropdown ist auf diesem Settings-Blatt (unten).
  Ändere es, und alle Anstoßzeiten aktualisieren sich auf jedem Blatt.</t>
  </si>
  <si>
    <t>COMO FUNCIONAM OS MENUS
• O menu de idioma fica no canto superior direito da página inicial Kick-off.
  Mude-o lá e a planilha inteira é traduzida instantaneamente.
• O menu de fuso horário está nesta aba Settings (abaixo).
  Mude-o e todos os horários se atualizam em todas as abas.</t>
  </si>
  <si>
    <t>step6_t</t>
  </si>
  <si>
    <t>RUN A SWEEPSTAKE</t>
  </si>
  <si>
    <t>ORGANIZA UN SORTEO</t>
  </si>
  <si>
    <t>ORGANISER UN TIRAGE</t>
  </si>
  <si>
    <t>EIN TIPPSPIEL VERANSTALTEN</t>
  </si>
  <si>
    <t>ORGANIZE UM SORTEIO</t>
  </si>
  <si>
    <t>step6_b</t>
  </si>
  <si>
    <t>Open the Sweepstake tab and type a player's name next to each team — use the same name on multiple teams to give one person several. Set your own prizes for 1st (Champion), 2nd (Runner-up) and 3rd (3rd-place play-off winner). Results lock in at the final whistle.</t>
  </si>
  <si>
    <t>Abre la pestaña Sweepstake y escribe el nombre de un jugador junto a cada equipo — usa el mismo nombre en varios equipos para dar a una persona varios. Define tus propios premios para 1.° (Campeón), 2.° (Subcampeón) y 3.° (ganador del partido por el tercer puesto). Los resultados se cierran al pitido final.</t>
  </si>
  <si>
    <t>Ouvrez l'onglet Sweepstake et tapez le nom d'un joueur à côté de chaque équipe — utilisez le même nom sur plusieurs équipes pour en attribuer plusieurs à la même personne. Définissez vos propres lots pour la 1ʳᵉ place (Champion), 2ᵉ (Finaliste) et 3ᵉ (vainqueur du match pour la 3ᵉ place). Les résultats se figent au coup de sifflet final.</t>
  </si>
  <si>
    <t>Öffne den Sweepstake-Reiter und schreibe einen Spielernamen neben jedes Team — derselbe Name an mehreren Teams gibt einer Person mehrere. Lege deine Preise für Platz 1 (Champion), 2 (Finalist) und 3 (Sieger des Spiels um Platz 3) fest. Die Ergebnisse stehen mit dem Schlusspfiff fest.</t>
  </si>
  <si>
    <t>Abra a aba Sweepstake e digite o nome de um jogador ao lado de cada time — use o mesmo nome em vários times para dar a uma pessoa vários. Defina seus próprios prêmios para 1.° (Campeão), 2.° (Vice) e 3.° (vencedor da disputa do 3.° lugar). Os resultados se fecham no apito final.</t>
  </si>
  <si>
    <t>month_1</t>
  </si>
  <si>
    <t>Jan</t>
  </si>
  <si>
    <t>Ene</t>
  </si>
  <si>
    <t>janv.</t>
  </si>
  <si>
    <t>month_2</t>
  </si>
  <si>
    <t>Feb</t>
  </si>
  <si>
    <t>fév.</t>
  </si>
  <si>
    <t>Fev</t>
  </si>
  <si>
    <t>month_3</t>
  </si>
  <si>
    <t>Mar</t>
  </si>
  <si>
    <t>mars</t>
  </si>
  <si>
    <t>Mär</t>
  </si>
  <si>
    <t>month_4</t>
  </si>
  <si>
    <t>Apr</t>
  </si>
  <si>
    <t>Abr</t>
  </si>
  <si>
    <t>avr.</t>
  </si>
  <si>
    <t>month_5</t>
  </si>
  <si>
    <t>May</t>
  </si>
  <si>
    <t>mai</t>
  </si>
  <si>
    <t>Mai</t>
  </si>
  <si>
    <t>month_6</t>
  </si>
  <si>
    <t>Jun</t>
  </si>
  <si>
    <t>juin</t>
  </si>
  <si>
    <t>month_7</t>
  </si>
  <si>
    <t>Jul</t>
  </si>
  <si>
    <t>juil.</t>
  </si>
  <si>
    <t>month_8</t>
  </si>
  <si>
    <t>Aug</t>
  </si>
  <si>
    <t>Ago</t>
  </si>
  <si>
    <t>août</t>
  </si>
  <si>
    <t>month_9</t>
  </si>
  <si>
    <t>Sep</t>
  </si>
  <si>
    <t>sept.</t>
  </si>
  <si>
    <t>Set</t>
  </si>
  <si>
    <t>month_10</t>
  </si>
  <si>
    <t>Oct</t>
  </si>
  <si>
    <t>oct.</t>
  </si>
  <si>
    <t>Okt</t>
  </si>
  <si>
    <t>Out</t>
  </si>
  <si>
    <t>month_11</t>
  </si>
  <si>
    <t>Nov</t>
  </si>
  <si>
    <t>nov.</t>
  </si>
  <si>
    <t>month_12</t>
  </si>
  <si>
    <t>Dec</t>
  </si>
  <si>
    <t>Dic</t>
  </si>
  <si>
    <t>déc.</t>
  </si>
  <si>
    <t>Dez</t>
  </si>
  <si>
    <t>dow_1</t>
  </si>
  <si>
    <t>Mon</t>
  </si>
  <si>
    <t>Lun</t>
  </si>
  <si>
    <t>lun.</t>
  </si>
  <si>
    <t>Mo</t>
  </si>
  <si>
    <t>Seg</t>
  </si>
  <si>
    <t>dow_2</t>
  </si>
  <si>
    <t>Tue</t>
  </si>
  <si>
    <t>mar.</t>
  </si>
  <si>
    <t>Di</t>
  </si>
  <si>
    <t>Ter</t>
  </si>
  <si>
    <t>dow_3</t>
  </si>
  <si>
    <t>Wed</t>
  </si>
  <si>
    <t>Mié</t>
  </si>
  <si>
    <t>mer.</t>
  </si>
  <si>
    <t>Mi</t>
  </si>
  <si>
    <t>Qua</t>
  </si>
  <si>
    <t>dow_4</t>
  </si>
  <si>
    <t>Thu</t>
  </si>
  <si>
    <t>Jue</t>
  </si>
  <si>
    <t>jeu.</t>
  </si>
  <si>
    <t>Do</t>
  </si>
  <si>
    <t>Qui</t>
  </si>
  <si>
    <t>dow_5</t>
  </si>
  <si>
    <t>Fri</t>
  </si>
  <si>
    <t>Vie</t>
  </si>
  <si>
    <t>ven.</t>
  </si>
  <si>
    <t>Fr</t>
  </si>
  <si>
    <t>Sex</t>
  </si>
  <si>
    <t>dow_6</t>
  </si>
  <si>
    <t>Sat</t>
  </si>
  <si>
    <t>Sáb</t>
  </si>
  <si>
    <t>sam.</t>
  </si>
  <si>
    <t>Sa</t>
  </si>
  <si>
    <t>dow_7</t>
  </si>
  <si>
    <t>Sun</t>
  </si>
  <si>
    <t>Dom</t>
  </si>
  <si>
    <t>dim.</t>
  </si>
  <si>
    <t>So</t>
  </si>
  <si>
    <t>settings_intro</t>
  </si>
  <si>
    <t>Use the dropdowns below to change the language and timezone across the whole workbook. The change applies to every sheet instantly.</t>
  </si>
  <si>
    <t>Usa los menús desplegables siguientes para cambiar el idioma y la zona horaria en toda la hoja de cálculo. El cambio se aplica al instante en todas las pestañas.</t>
  </si>
  <si>
    <t>Utilisez les menus déroulants ci-dessous pour changer la langue et le fuseau horaire dans tout le classeur. Le changement s'applique instantanément à toutes les feuilles.</t>
  </si>
  <si>
    <t>Verwende die Dropdowns unten, um Sprache und Zeitzone für die gesamte Arbeitsmappe zu ändern. Die Änderung gilt sofort auf allen Blättern.</t>
  </si>
  <si>
    <t>Use os menus suspensos abaixo para alterar o idioma e o fuso horário em toda a planilha. A alteração se aplica instantaneamente a todas as abas.</t>
  </si>
  <si>
    <t>trust_note</t>
  </si>
  <si>
    <t>This spreadsheet contains no macros and connects to no external services. The only outbound links are to JustGiving (donations) and PSC Support (the charity).</t>
  </si>
  <si>
    <t>Esta hoja de cálculo no contiene macros ni se conecta a servicios externos. Los únicos enlaces externos son a JustGiving (donaciones) y PSC Support (la organización benéfica).</t>
  </si>
  <si>
    <t>Ce tableur ne contient aucune macro et ne se connecte à aucun service externe. Les seuls liens sortants sont vers JustGiving (dons) et PSC Support (l'association caritative).</t>
  </si>
  <si>
    <t>Diese Tabelle enthält keine Makros und stellt keine Verbindung zu externen Diensten her. Die einzigen ausgehenden Links führen zu JustGiving (Spenden) und PSC Support (die Wohltätigkeitsorganisation).</t>
  </si>
  <si>
    <t>Esta planilha não contém macros e não se conecta a serviços externos. Os únicos links externos são para JustGiving (doações) e PSC Support (a instituição beneficente).</t>
  </si>
  <si>
    <t>sw_title</t>
  </si>
  <si>
    <t>&gt;&gt;&gt; SWEEPSTAKE</t>
  </si>
  <si>
    <t>sw_intro</t>
  </si>
  <si>
    <t>Type a player's name next to each team. Same name on multiple teams is fine. Set your own prizes for the three winners. Results lock in at the final whistle.</t>
  </si>
  <si>
    <t>Escribe el nombre de un jugador junto a cada equipo. Está bien usar el mismo nombre en varios. Define tus propios premios para los tres ganadores. Los resultados se cierran al pitido final.</t>
  </si>
  <si>
    <t>Tapez le nom d'un joueur à côté de chaque équipe. Le même nom sur plusieurs équipes est OK. Définissez vos propres lots pour les trois gagnants. Les résultats se figent au coup de sifflet final.</t>
  </si>
  <si>
    <t>Schreibe einen Spielernamen neben jedes Team. Derselbe Name an mehreren Teams ist OK. Lege Preise für die drei Gewinner fest. Ergebnisse stehen mit dem Schlusspfiff fest.</t>
  </si>
  <si>
    <t>Digite o nome de um jogador ao lado de cada time. O mesmo nome em vários times é OK. Defina prêmios para os três vencedores. Os resultados se fecham no apito final.</t>
  </si>
  <si>
    <t>sw_prizes_title</t>
  </si>
  <si>
    <t xml:space="preserve"> &gt;&gt;&gt; PRIZES</t>
  </si>
  <si>
    <t xml:space="preserve"> &gt;&gt;&gt; PREMIOS</t>
  </si>
  <si>
    <t xml:space="preserve"> &gt;&gt;&gt; LOTS</t>
  </si>
  <si>
    <t xml:space="preserve"> &gt;&gt;&gt; PREISE</t>
  </si>
  <si>
    <t xml:space="preserve"> &gt;&gt;&gt; PRÊMIOS</t>
  </si>
  <si>
    <t>sw_results_title</t>
  </si>
  <si>
    <t xml:space="preserve"> &gt;&gt;&gt; WINNERS</t>
  </si>
  <si>
    <t xml:space="preserve"> &gt;&gt;&gt; GANADORES</t>
  </si>
  <si>
    <t xml:space="preserve"> &gt;&gt;&gt; GAGNANTS</t>
  </si>
  <si>
    <t xml:space="preserve"> &gt;&gt;&gt; GEWINNER</t>
  </si>
  <si>
    <t xml:space="preserve"> &gt;&gt;&gt; VENCEDORES</t>
  </si>
  <si>
    <t>sw_teams_title</t>
  </si>
  <si>
    <t xml:space="preserve"> &gt;&gt;&gt; ASSIGN PLAYERS TO TEAMS</t>
  </si>
  <si>
    <t xml:space="preserve"> &gt;&gt;&gt; ASIGNAR JUGADORES A EQUIPOS</t>
  </si>
  <si>
    <t xml:space="preserve"> &gt;&gt;&gt; ASSIGNER LES JOUEURS AUX ÉQUIPES</t>
  </si>
  <si>
    <t xml:space="preserve"> &gt;&gt;&gt; SPIELER ZU TEAMS ZUTEILEN</t>
  </si>
  <si>
    <t xml:space="preserve"> &gt;&gt;&gt; ATRIBUIR JOGADORES ÀS SELEÇÕES</t>
  </si>
  <si>
    <t>sw_pos_1</t>
  </si>
  <si>
    <t>1st  ·  WINNERS</t>
  </si>
  <si>
    <t>1.°  ·  GANADORES</t>
  </si>
  <si>
    <t>1ʳᵉ  ·  GAGNANTS</t>
  </si>
  <si>
    <t>1.  ·  GEWINNER</t>
  </si>
  <si>
    <t>1.°  ·  VENCEDORES</t>
  </si>
  <si>
    <t>sw_pos_2</t>
  </si>
  <si>
    <t>2nd  ·  RUNNERS-UP</t>
  </si>
  <si>
    <t>2.°  ·  SUBCAMPEONES</t>
  </si>
  <si>
    <t>2ᵉ  ·  FINALISTES</t>
  </si>
  <si>
    <t>2.  ·  FINALISTEN</t>
  </si>
  <si>
    <t>2.°  ·  VICES</t>
  </si>
  <si>
    <t>sw_pos_3</t>
  </si>
  <si>
    <t>3rd  ·  3RD-PLACE PLAY-OFF WINNERS</t>
  </si>
  <si>
    <t>3.°  ·  GANADORES DEL PARTIDO POR EL TERCER PUESTO</t>
  </si>
  <si>
    <t>3ᵉ  ·  VAINQUEURS DU MATCH POUR LA 3ᵉ PLACE</t>
  </si>
  <si>
    <t>3.  ·  SIEGER DES SPIELS UM PLATZ 3</t>
  </si>
  <si>
    <t>3.°  ·  VENCEDORES DA DISPUTA DO 3.° LUGAR</t>
  </si>
  <si>
    <t>sw_team</t>
  </si>
  <si>
    <t>TIME</t>
  </si>
  <si>
    <t>sw_winner_label</t>
  </si>
  <si>
    <t>WINNER</t>
  </si>
  <si>
    <t>GANADOR</t>
  </si>
  <si>
    <t>GAGNANT</t>
  </si>
  <si>
    <t>GEWINNER</t>
  </si>
  <si>
    <t>VENCEDOR</t>
  </si>
  <si>
    <t>sw_prize_label</t>
  </si>
  <si>
    <t>PRIZE</t>
  </si>
  <si>
    <t>PREMIO</t>
  </si>
  <si>
    <t>LOT</t>
  </si>
  <si>
    <t>PREIS</t>
  </si>
  <si>
    <t>PRÊMIO</t>
  </si>
  <si>
    <t>sw_player_label</t>
  </si>
  <si>
    <t>PLAYER</t>
  </si>
  <si>
    <t>JUGADOR</t>
  </si>
  <si>
    <t>JOUEUR</t>
  </si>
  <si>
    <t>SPIELER</t>
  </si>
  <si>
    <t>JOGADOR</t>
  </si>
  <si>
    <t>sw_group_label</t>
  </si>
  <si>
    <t>sw_unassigned</t>
  </si>
  <si>
    <t>(unassigned)</t>
  </si>
  <si>
    <t>(sin asignar)</t>
  </si>
  <si>
    <t>(non attribué)</t>
  </si>
  <si>
    <t>(nicht zugeteilt)</t>
  </si>
  <si>
    <t>(não atribuído)</t>
  </si>
  <si>
    <t>sw_tbc_pos</t>
  </si>
  <si>
    <t>TBC — tournament not finished</t>
  </si>
  <si>
    <t>TBC — torneo no finalizado</t>
  </si>
  <si>
    <t>À déterminer — tournoi non terminé</t>
  </si>
  <si>
    <t>Offen — Turnier nicht beendet</t>
  </si>
  <si>
    <t>A definir — torneio não encerrado</t>
  </si>
  <si>
    <t>sw_prize_placeholder</t>
  </si>
  <si>
    <t>(type a prize…)</t>
  </si>
  <si>
    <t>(escribe un premio…)</t>
  </si>
  <si>
    <t>(saisissez un lot…)</t>
  </si>
  <si>
    <t>(Preis eingeben…)</t>
  </si>
  <si>
    <t>(digite um prêmio…)</t>
  </si>
  <si>
    <t>teams_title</t>
  </si>
  <si>
    <t>&gt;&gt;&gt; TEAMS</t>
  </si>
  <si>
    <t>&gt;&gt;&gt; EQUIPOS</t>
  </si>
  <si>
    <t>&gt;&gt;&gt; ÉQUIPES</t>
  </si>
  <si>
    <t>&gt;&gt;&gt; SELEÇÕES</t>
  </si>
  <si>
    <t>teams_subtitle</t>
  </si>
  <si>
    <t>All 48 qualified teams — coach, captain, ranking, World Cup pedigree.</t>
  </si>
  <si>
    <t>Las 48 selecciones clasificadas — entrenador, capitán, ranking, historial mundialista.</t>
  </si>
  <si>
    <t>Les 48 équipes qualifiées — sélectionneur, capitaine, classement, palmarès en Coupe du Monde.</t>
  </si>
  <si>
    <t>Alle 48 qualifizierten Teams — Trainer, Kapitän, Platzierung, WM-Historie.</t>
  </si>
  <si>
    <t>As 48 seleções classificadas — técnico, capitão, ranking, histórico de Copas.</t>
  </si>
  <si>
    <t>hdr_rank</t>
  </si>
  <si>
    <t>FIFA #</t>
  </si>
  <si>
    <t>hdr_coach</t>
  </si>
  <si>
    <t>HEAD COACH</t>
  </si>
  <si>
    <t>SELECCIONADOR</t>
  </si>
  <si>
    <t>SÉLECTIONNEUR</t>
  </si>
  <si>
    <t>TRAINER</t>
  </si>
  <si>
    <t>TÉCNICO</t>
  </si>
  <si>
    <t>hdr_captain</t>
  </si>
  <si>
    <t>CAPTAIN</t>
  </si>
  <si>
    <t>CAPITÁN</t>
  </si>
  <si>
    <t>CAPITAINE</t>
  </si>
  <si>
    <t>KAPITÄN</t>
  </si>
  <si>
    <t>CAPITÃO</t>
  </si>
  <si>
    <t>hdr_topscorer</t>
  </si>
  <si>
    <t>ALL-TIME TOP SCORER</t>
  </si>
  <si>
    <t>MÁXIMO GOLEADOR</t>
  </si>
  <si>
    <t>MEILLEUR BUTEUR</t>
  </si>
  <si>
    <t>REKORDTORSCHÜTZE</t>
  </si>
  <si>
    <t>MAIOR ARTILHEIRO</t>
  </si>
  <si>
    <t>hdr_wcapps</t>
  </si>
  <si>
    <t>WC APPS</t>
  </si>
  <si>
    <t>PART. MUNDIALES</t>
  </si>
  <si>
    <t>PART. CDM</t>
  </si>
  <si>
    <t>WM-TEILN.</t>
  </si>
  <si>
    <t>COPAS</t>
  </si>
  <si>
    <t>hdr_bestfinish</t>
  </si>
  <si>
    <t>BEST FINISH</t>
  </si>
  <si>
    <t>MEJOR ACTUACIÓN</t>
  </si>
  <si>
    <t>MEILLEUR PARCOURS</t>
  </si>
  <si>
    <t>BESTE PLATZIERUNG</t>
  </si>
  <si>
    <t>MELHOR CAMPANHA</t>
  </si>
  <si>
    <t>hdr_lastapp</t>
  </si>
  <si>
    <t>LAST WC</t>
  </si>
  <si>
    <t>ÚLTIMA</t>
  </si>
  <si>
    <t>DERNIÈRE</t>
  </si>
  <si>
    <t>LETZTE</t>
  </si>
  <si>
    <t>rank_as_of</t>
  </si>
  <si>
    <t>Rankings: April 2026 FIFA release</t>
  </si>
  <si>
    <t>Clasificación: ranking FIFA de abril 2026</t>
  </si>
  <si>
    <t>Classement: FIFA avril 2026</t>
  </si>
  <si>
    <t>Ranking: FIFA-Stand April 2026</t>
  </si>
  <si>
    <t>Ranking: FIFA abril 2026</t>
  </si>
  <si>
    <t>h2h_label</t>
  </si>
  <si>
    <t>Previous WC meetings</t>
  </si>
  <si>
    <t>Encuentros anteriores en CM</t>
  </si>
  <si>
    <t>Précédents matchs en CDM</t>
  </si>
  <si>
    <t>Bisherige WM-Begegnungen</t>
  </si>
  <si>
    <t>Encontros anteriores em Copa</t>
  </si>
  <si>
    <t>h2h_none</t>
  </si>
  <si>
    <t>First WC meeting</t>
  </si>
  <si>
    <t>Primer encuentro en CM</t>
  </si>
  <si>
    <t>Première rencontre en CDM</t>
  </si>
  <si>
    <t>Erstes WM-Duell</t>
  </si>
  <si>
    <t>Primeiro encontro em Copa</t>
  </si>
  <si>
    <t>h2h_once</t>
  </si>
  <si>
    <t>met once</t>
  </si>
  <si>
    <t>se enfrentaron una vez</t>
  </si>
  <si>
    <t>se sont affrontés une fois</t>
  </si>
  <si>
    <t>trafen sich einmal</t>
  </si>
  <si>
    <t>se enfrentaram uma vez</t>
  </si>
  <si>
    <t>h2h_times</t>
  </si>
  <si>
    <t>met {n} times</t>
  </si>
  <si>
    <t>se enfrentaron {n} veces</t>
  </si>
  <si>
    <t>se sont affrontés {n} fois</t>
  </si>
  <si>
    <t>trafen sich {n}-mal</t>
  </si>
  <si>
    <t>se enfrentaram {n} vezes</t>
  </si>
  <si>
    <t>round_GS</t>
  </si>
  <si>
    <t>Grupo</t>
  </si>
  <si>
    <t>Phase de groupes</t>
  </si>
  <si>
    <t>Gruppe</t>
  </si>
  <si>
    <t>round_R16</t>
  </si>
  <si>
    <t>Octavos</t>
  </si>
  <si>
    <t>Huitièmes</t>
  </si>
  <si>
    <t>Achtelfinale</t>
  </si>
  <si>
    <t>Oitavas</t>
  </si>
  <si>
    <t>round_QF</t>
  </si>
  <si>
    <t>Quarter-final</t>
  </si>
  <si>
    <t>Cuartos</t>
  </si>
  <si>
    <t>Quarts</t>
  </si>
  <si>
    <t>Viertelfinale</t>
  </si>
  <si>
    <t>Quartas</t>
  </si>
  <si>
    <t>round_SF</t>
  </si>
  <si>
    <t>Semi-final</t>
  </si>
  <si>
    <t>Semifinal</t>
  </si>
  <si>
    <t>Demi-finale</t>
  </si>
  <si>
    <t>Halbfinale</t>
  </si>
  <si>
    <t>round_F</t>
  </si>
  <si>
    <t>Finale</t>
  </si>
  <si>
    <t>round_3RD</t>
  </si>
  <si>
    <t>3rd place</t>
  </si>
  <si>
    <t>Tercer puesto</t>
  </si>
  <si>
    <t>3e place</t>
  </si>
  <si>
    <t>Spiel um Platz 3</t>
  </si>
  <si>
    <t>3.° lugar</t>
  </si>
  <si>
    <t>hdr_h2h</t>
  </si>
  <si>
    <t>H2H (WC)</t>
  </si>
  <si>
    <t>H2H (CM)</t>
  </si>
  <si>
    <t>H2H (CDM)</t>
  </si>
  <si>
    <t>H2H (WM)</t>
  </si>
  <si>
    <t>H2H (Copa)</t>
  </si>
  <si>
    <t>pens_na</t>
  </si>
  <si>
    <t>N/A</t>
  </si>
  <si>
    <t>sc_title</t>
  </si>
  <si>
    <t>&gt;&gt;&gt; YOUR SCORECARD</t>
  </si>
  <si>
    <t>&gt;&gt;&gt; TU PUNTUACIÓN</t>
  </si>
  <si>
    <t>&gt;&gt;&gt; VOTRE TABLEAU</t>
  </si>
  <si>
    <t>&gt;&gt;&gt; DEIN ERGEBNIS</t>
  </si>
  <si>
    <t>&gt;&gt;&gt; SUA PONTUAÇÃO</t>
  </si>
  <si>
    <t>sc_outcome</t>
  </si>
  <si>
    <t>Outcome accuracy:</t>
  </si>
  <si>
    <t>Aciertos de resultado:</t>
  </si>
  <si>
    <t>Précision résultat:</t>
  </si>
  <si>
    <t>Trefferquote Ergebnis:</t>
  </si>
  <si>
    <t>Acertos de resultado:</t>
  </si>
  <si>
    <t>sc_exact</t>
  </si>
  <si>
    <t>Exact score:</t>
  </si>
  <si>
    <t>Marcador exacto:</t>
  </si>
  <si>
    <t>Score exact:</t>
  </si>
  <si>
    <t>Exaktes Ergebnis:</t>
  </si>
  <si>
    <t>Placar exato:</t>
  </si>
  <si>
    <t>sc_points</t>
  </si>
  <si>
    <t>Points:</t>
  </si>
  <si>
    <t>Puntos:</t>
  </si>
  <si>
    <t>Punkte:</t>
  </si>
  <si>
    <t>Pontos:</t>
  </si>
  <si>
    <t>sc_pred_winner</t>
  </si>
  <si>
    <t>Your WC winner:</t>
  </si>
  <si>
    <t>Tu campeón:</t>
  </si>
  <si>
    <t>Votre champion:</t>
  </si>
  <si>
    <t>Dein Champion:</t>
  </si>
  <si>
    <t>Seu campeão:</t>
  </si>
  <si>
    <t>sc_actual_winner</t>
  </si>
  <si>
    <t>Actual WC winner:</t>
  </si>
  <si>
    <t>Campeón real:</t>
  </si>
  <si>
    <t>Champion réel:</t>
  </si>
  <si>
    <t>Tatsächlicher Champion:</t>
  </si>
  <si>
    <t>Campeão real:</t>
  </si>
  <si>
    <t>sc_tbc_predict</t>
  </si>
  <si>
    <t>TBC — predict the final</t>
  </si>
  <si>
    <t>Pendiente — pronostica la final</t>
  </si>
  <si>
    <t>À venir — pronostiquez la finale</t>
  </si>
  <si>
    <t>Offen — Tipp die Finale</t>
  </si>
  <si>
    <t>A definir — palpite a final</t>
  </si>
  <si>
    <t>sc_tbc_played</t>
  </si>
  <si>
    <t>TBC — final not played</t>
  </si>
  <si>
    <t>Pendiente — final no jugada</t>
  </si>
  <si>
    <t>À venir — finale non jouée</t>
  </si>
  <si>
    <t>Offen — Finale nicht gespielt</t>
  </si>
  <si>
    <t>A definir — final não jogada</t>
  </si>
  <si>
    <t>City</t>
  </si>
  <si>
    <t>Country</t>
  </si>
  <si>
    <t>Capacity</t>
  </si>
  <si>
    <t>Mexico City</t>
  </si>
  <si>
    <t>Mexico</t>
  </si>
  <si>
    <t>Zapopan (Guadalajara)</t>
  </si>
  <si>
    <t>Monterrey</t>
  </si>
  <si>
    <t>Toronto</t>
  </si>
  <si>
    <t>Canada</t>
  </si>
  <si>
    <t>Vancouver</t>
  </si>
  <si>
    <t>Arlington (Dallas)</t>
  </si>
  <si>
    <t>USA</t>
  </si>
  <si>
    <t>Atlanta</t>
  </si>
  <si>
    <t>Foxborough (Boston)</t>
  </si>
  <si>
    <t>Houston</t>
  </si>
  <si>
    <t>Kansas City</t>
  </si>
  <si>
    <t>Inglewood (Los Angeles)</t>
  </si>
  <si>
    <t>Miami Gardens</t>
  </si>
  <si>
    <t>East Rutherford (NY/NJ)</t>
  </si>
  <si>
    <t>Philadelphia</t>
  </si>
  <si>
    <t>Santa Clara (SF Bay Area)</t>
  </si>
  <si>
    <t>Seattle</t>
  </si>
  <si>
    <t>Team</t>
  </si>
  <si>
    <t>FlagCode</t>
  </si>
  <si>
    <t>🇲🇽 MEX</t>
  </si>
  <si>
    <t>🇿🇦 RSA</t>
  </si>
  <si>
    <t>🇰🇷 KOR</t>
  </si>
  <si>
    <t>🇨🇿 CZE</t>
  </si>
  <si>
    <t>🇨🇦 CAN</t>
  </si>
  <si>
    <t>🇧🇦 BIH</t>
  </si>
  <si>
    <t>🇶🇦 QAT</t>
  </si>
  <si>
    <t>🇨🇭 SUI</t>
  </si>
  <si>
    <t>🇧🇷 BRA</t>
  </si>
  <si>
    <t>🇲🇦 MAR</t>
  </si>
  <si>
    <t>🇭🇹 HAI</t>
  </si>
  <si>
    <t>🏴󠁧󠁢󠁳󠁣󠁴󠁿 SCO</t>
  </si>
  <si>
    <t>🇵🇾 PAR</t>
  </si>
  <si>
    <t>🇦🇺 AUS</t>
  </si>
  <si>
    <t>🇹🇷 TUR</t>
  </si>
  <si>
    <t>🇩🇪 GER</t>
  </si>
  <si>
    <t>🇨🇼 CUW</t>
  </si>
  <si>
    <t>🇨🇮 CIV</t>
  </si>
  <si>
    <t>🇪🇨 ECU</t>
  </si>
  <si>
    <t>🇳🇱 NED</t>
  </si>
  <si>
    <t>🇯🇵 JPN</t>
  </si>
  <si>
    <t>🇸🇪 SWE</t>
  </si>
  <si>
    <t>🇹🇳 TUN</t>
  </si>
  <si>
    <t>🇧🇪 BEL</t>
  </si>
  <si>
    <t>🇪🇬 EGY</t>
  </si>
  <si>
    <t>🇮🇷 IRN</t>
  </si>
  <si>
    <t>🇳🇿 NZL</t>
  </si>
  <si>
    <t>🇪🇸 ESP</t>
  </si>
  <si>
    <t>🇨🇻 CPV</t>
  </si>
  <si>
    <t>🇸🇦 KSA</t>
  </si>
  <si>
    <t>🇺🇾 URU</t>
  </si>
  <si>
    <t>🇫🇷 FRA</t>
  </si>
  <si>
    <t>🇸🇳 SEN</t>
  </si>
  <si>
    <t>🇮🇶 IRQ</t>
  </si>
  <si>
    <t>🇳🇴 NOR</t>
  </si>
  <si>
    <t>🇦🇷 ARG</t>
  </si>
  <si>
    <t>🇩🇿 ALG</t>
  </si>
  <si>
    <t>🇦🇹 AUT</t>
  </si>
  <si>
    <t>🇯🇴 JOR</t>
  </si>
  <si>
    <t>🇵🇹 POR</t>
  </si>
  <si>
    <t>🇨🇩 COD</t>
  </si>
  <si>
    <t>🇺🇿 UZB</t>
  </si>
  <si>
    <t>🇨🇴 COL</t>
  </si>
  <si>
    <t>🏴󠁧󠁢󠁥󠁮󠁧󠁿 ENG</t>
  </si>
  <si>
    <t>🇭🇷 CRO</t>
  </si>
  <si>
    <t>🇬🇭 GHA</t>
  </si>
  <si>
    <t>🇵🇦 PAN</t>
  </si>
  <si>
    <t>Year</t>
  </si>
  <si>
    <t>TeamA</t>
  </si>
  <si>
    <t>ScoreA</t>
  </si>
  <si>
    <t>TeamB</t>
  </si>
  <si>
    <t>ScoreB</t>
  </si>
  <si>
    <t>Score</t>
  </si>
  <si>
    <t>Pair</t>
  </si>
  <si>
    <t>Display</t>
  </si>
  <si>
    <t>Croatia</t>
  </si>
  <si>
    <t>Brazil</t>
  </si>
  <si>
    <t>1-1</t>
  </si>
  <si>
    <t>Brazil|Croatia</t>
  </si>
  <si>
    <t>Argentina</t>
  </si>
  <si>
    <t>France</t>
  </si>
  <si>
    <t>3-3</t>
  </si>
  <si>
    <t>Argentina|France</t>
  </si>
  <si>
    <t>Netherlands</t>
  </si>
  <si>
    <t>2-2</t>
  </si>
  <si>
    <t>Argentina|Netherlands</t>
  </si>
  <si>
    <t>England</t>
  </si>
  <si>
    <t>2-1</t>
  </si>
  <si>
    <t>England|France</t>
  </si>
  <si>
    <t>Morocco</t>
  </si>
  <si>
    <t>Spain</t>
  </si>
  <si>
    <t>0-0</t>
  </si>
  <si>
    <t>Morocco|Spain</t>
  </si>
  <si>
    <t>Portugal</t>
  </si>
  <si>
    <t>1-0</t>
  </si>
  <si>
    <t>Morocco|Portugal</t>
  </si>
  <si>
    <t>3RD</t>
  </si>
  <si>
    <t>Croatia|Morocco</t>
  </si>
  <si>
    <t>Switzerland</t>
  </si>
  <si>
    <t>6-1</t>
  </si>
  <si>
    <t>Portugal|Switzerland</t>
  </si>
  <si>
    <t>Australia</t>
  </si>
  <si>
    <t>Argentina|Australia</t>
  </si>
  <si>
    <t>Japan</t>
  </si>
  <si>
    <t>Croatia|Japan</t>
  </si>
  <si>
    <t>2-0</t>
  </si>
  <si>
    <t>France|Morocco</t>
  </si>
  <si>
    <t>GS</t>
  </si>
  <si>
    <t>Ghana</t>
  </si>
  <si>
    <t>3-2</t>
  </si>
  <si>
    <t>Ghana|Portugal</t>
  </si>
  <si>
    <t>Belgium</t>
  </si>
  <si>
    <t>Belgium|Canada</t>
  </si>
  <si>
    <t>Belgium|Brazil</t>
  </si>
  <si>
    <t>4-3</t>
  </si>
  <si>
    <t>Germany</t>
  </si>
  <si>
    <t>Germany|Mexico</t>
  </si>
  <si>
    <t>Croatia|England</t>
  </si>
  <si>
    <t>4-2</t>
  </si>
  <si>
    <t>Croatia|France</t>
  </si>
  <si>
    <t>Belgium|England</t>
  </si>
  <si>
    <t>Colombia</t>
  </si>
  <si>
    <t>Colombia|England</t>
  </si>
  <si>
    <t>Panama</t>
  </si>
  <si>
    <t>England|Panama</t>
  </si>
  <si>
    <t>7-1</t>
  </si>
  <si>
    <t>Brazil|Germany</t>
  </si>
  <si>
    <t>Argentina|Germany</t>
  </si>
  <si>
    <t>5-1</t>
  </si>
  <si>
    <t>Netherlands|Spain</t>
  </si>
  <si>
    <t>Belgium|USA</t>
  </si>
  <si>
    <t>Ecuador</t>
  </si>
  <si>
    <t>Honduras</t>
  </si>
  <si>
    <t>Ecuador|Honduras</t>
  </si>
  <si>
    <t>Algeria</t>
  </si>
  <si>
    <t>Algeria|Germany</t>
  </si>
  <si>
    <t>Brazil|Colombia</t>
  </si>
  <si>
    <t>4-0</t>
  </si>
  <si>
    <t>4-1</t>
  </si>
  <si>
    <t>England|Germany</t>
  </si>
  <si>
    <t>England|USA</t>
  </si>
  <si>
    <t>Germany|Spain</t>
  </si>
  <si>
    <t>Uruguay</t>
  </si>
  <si>
    <t>Ghana|Uruguay</t>
  </si>
  <si>
    <t>Paraguay</t>
  </si>
  <si>
    <t>Japan|Paraguay</t>
  </si>
  <si>
    <t>Italy</t>
  </si>
  <si>
    <t>Italy|Paraguay</t>
  </si>
  <si>
    <t>Brazil|France</t>
  </si>
  <si>
    <t>France|Italy</t>
  </si>
  <si>
    <t>Australia|Italy</t>
  </si>
  <si>
    <t>Brazil|England</t>
  </si>
  <si>
    <t>Germany|USA</t>
  </si>
  <si>
    <t>Turkey</t>
  </si>
  <si>
    <t>Senegal</t>
  </si>
  <si>
    <t>Senegal|Turkey</t>
  </si>
  <si>
    <t>South Korea</t>
  </si>
  <si>
    <t>Germany|South Korea</t>
  </si>
  <si>
    <t>Japan|Turkey</t>
  </si>
  <si>
    <t>South Korea|Turkey</t>
  </si>
  <si>
    <t>3-0</t>
  </si>
  <si>
    <t>Argentina|England</t>
  </si>
  <si>
    <t>Croatia|Netherlands</t>
  </si>
  <si>
    <t>Iran</t>
  </si>
  <si>
    <t>Iran|USA</t>
  </si>
  <si>
    <t>Brazil|Morocco</t>
  </si>
  <si>
    <t>Norway</t>
  </si>
  <si>
    <t>Brazil|Norway</t>
  </si>
  <si>
    <t>Brazil|Italy</t>
  </si>
  <si>
    <t>Bulgaria</t>
  </si>
  <si>
    <t>Bulgaria|Mexico</t>
  </si>
  <si>
    <t>Sweden</t>
  </si>
  <si>
    <t>Saudi Arabia</t>
  </si>
  <si>
    <t>3-1</t>
  </si>
  <si>
    <t>Saudi Arabia|Sweden</t>
  </si>
  <si>
    <t>Colombia|USA</t>
  </si>
  <si>
    <t>Argentina|Brazil</t>
  </si>
  <si>
    <t>Germany|Netherlands</t>
  </si>
  <si>
    <t>Egypt</t>
  </si>
  <si>
    <t>Egypt|England</t>
  </si>
  <si>
    <t>Scotland</t>
  </si>
  <si>
    <t>Scotland|Sweden</t>
  </si>
  <si>
    <t>Argentina|Belgium</t>
  </si>
  <si>
    <t>Germany|Morocco</t>
  </si>
  <si>
    <t>Iraq</t>
  </si>
  <si>
    <t>0-2</t>
  </si>
  <si>
    <t>Belgium|Iraq</t>
  </si>
  <si>
    <t>Tunisia</t>
  </si>
  <si>
    <t>Mexico|Tunisia</t>
  </si>
  <si>
    <t>Netherlands|Scotland</t>
  </si>
  <si>
    <t>Austria</t>
  </si>
  <si>
    <t>Austria|Germany</t>
  </si>
  <si>
    <t>Haiti</t>
  </si>
  <si>
    <t>Haiti|Italy</t>
  </si>
  <si>
    <t>USSR</t>
  </si>
  <si>
    <t>Portugal|USSR</t>
  </si>
  <si>
    <t>Czechoslovakia</t>
  </si>
  <si>
    <t>Brazil|Czechoslovakia</t>
  </si>
  <si>
    <t>5-2</t>
  </si>
  <si>
    <t>Brazil|Sweden</t>
  </si>
  <si>
    <t>Hungary</t>
  </si>
  <si>
    <t>Germany|Hungary</t>
  </si>
  <si>
    <t>7-5</t>
  </si>
  <si>
    <t>Austria|Switzerland</t>
  </si>
  <si>
    <t>Brazil|Uruguay</t>
  </si>
  <si>
    <t>Czechoslovakia|Switzerland</t>
  </si>
  <si>
    <t>Argentina|Uruguay</t>
  </si>
  <si>
    <t>Argentina|USA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</si>
</sst>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yyyy\-mm\-dd\ hh:mm"/>
    <numFmt numFmtId="166" formatCode="0;0;;"/>
    <numFmt numFmtId="167" formatCode="d\ mmm"/>
  </numFmts>
  <fonts count="88">
    <font>
      <b/>
      <sz val="11"/>
      <color rgb="FF000000"/>
      <name val="Courier New"/>
      <charset val="1"/>
    </font>
    <font>
      <sz val="11"/>
      <color theme="1"/>
      <name val="Courier New"/>
      <family val="1"/>
    </font>
    <font>
      <b/>
      <sz val="12"/>
      <color rgb="FF001A0A"/>
      <name val="Courier New"/>
      <family val="1"/>
    </font>
    <font>
      <b/>
      <sz val="12"/>
      <color rgb="FF1FA64A"/>
      <name val="Courier New"/>
      <family val="1"/>
    </font>
    <font>
      <b/>
      <sz val="10"/>
      <color rgb="FFFFFFFF"/>
      <name val="Space Mono"/>
      <charset val="1"/>
    </font>
    <font>
      <b/>
      <sz val="10"/>
      <color rgb="FF1FA64A"/>
      <name val="Space Mono"/>
      <charset val="1"/>
    </font>
    <font>
      <sz val="10"/>
      <color theme="1"/>
      <name val="Courier New"/>
      <family val="1"/>
    </font>
    <font>
      <b/>
      <sz val="10"/>
      <color rgb="FFFDC737"/>
      <name val="Space Mono"/>
      <charset val="1"/>
    </font>
    <font>
      <b/>
      <sz val="11"/>
      <color theme="1"/>
      <name val="Courier New"/>
      <family val="1"/>
    </font>
    <font>
      <b/>
      <sz val="22"/>
      <color rgb="FFFFFFFF"/>
      <name val="Courier New"/>
      <family val="1"/>
    </font>
    <font>
      <b/>
      <sz val="10"/>
      <color rgb="FFFFFFFF"/>
      <name val="Courier New"/>
      <family val="1"/>
    </font>
    <font>
      <b/>
      <sz val="12"/>
      <color rgb="FFFFFFFF"/>
      <name val="Press Start 2P"/>
      <charset val="1"/>
    </font>
    <font>
      <b/>
      <sz val="12"/>
      <color rgb="FF1FA64A"/>
      <name val="Space Mono"/>
      <charset val="1"/>
    </font>
    <font>
      <b/>
      <sz val="11"/>
      <color theme="1"/>
      <name val="Space Mono"/>
      <charset val="1"/>
    </font>
    <font>
      <sz val="11"/>
      <color theme="1"/>
      <name val="Space Mono"/>
      <charset val="1"/>
    </font>
    <font>
      <b/>
      <sz val="10"/>
      <color theme="1"/>
      <name val="Space Mono"/>
      <charset val="1"/>
    </font>
    <font>
      <b/>
      <sz val="10"/>
      <color theme="0"/>
      <name val="Space Mono"/>
      <charset val="1"/>
    </font>
    <font>
      <sz val="10"/>
      <color theme="1"/>
      <name val="Space Mono"/>
      <charset val="1"/>
    </font>
    <font>
      <b/>
      <sz val="11"/>
      <color theme="0"/>
      <name val="Space Mono"/>
      <charset val="1"/>
    </font>
    <font>
      <b/>
      <i/>
      <sz val="9"/>
      <color rgb="FF888888"/>
      <name val="Courier New"/>
      <family val="1"/>
    </font>
    <font>
      <b/>
      <sz val="22"/>
      <color rgb="FFFFFFFF"/>
      <name val="Press Start 2P"/>
      <charset val="1"/>
    </font>
    <font>
      <b/>
      <sz val="13"/>
      <color rgb="FF1FA64A"/>
      <name val="Courier New"/>
      <family val="1"/>
    </font>
    <font>
      <b/>
      <sz val="10"/>
      <color rgb="FF1FA64A"/>
      <name val="Courier New"/>
      <family val="1"/>
    </font>
    <font>
      <b/>
      <sz val="12"/>
      <color rgb="FF0B5E2B"/>
      <name val="Courier New"/>
      <family val="1"/>
    </font>
    <font>
      <b/>
      <sz val="10"/>
      <color rgb="FFFFD84D"/>
      <name val="Courier New"/>
      <family val="1"/>
    </font>
    <font>
      <b/>
      <sz val="8"/>
      <color rgb="FF888888"/>
      <name val="Courier New"/>
      <family val="1"/>
    </font>
    <font>
      <b/>
      <sz val="11"/>
      <color rgb="FFFFFFFF"/>
      <name val="Space Mono"/>
      <charset val="1"/>
    </font>
    <font>
      <i/>
      <sz val="9"/>
      <color rgb="FFC0E0C8"/>
      <name val="Courier New"/>
      <family val="1"/>
    </font>
    <font>
      <sz val="10"/>
      <color rgb="FF9FCFA9"/>
      <name val="Courier New"/>
      <family val="1"/>
    </font>
    <font>
      <sz val="10"/>
      <color rgb="FFFFFFFF"/>
      <name val="Courier New"/>
      <family val="1"/>
    </font>
    <font>
      <b/>
      <sz val="11"/>
      <color rgb="FFFFFFFF"/>
      <name val="Courier New"/>
      <family val="1"/>
    </font>
    <font>
      <sz val="11"/>
      <color rgb="FFFFFFFF"/>
      <name val="Courier New"/>
      <family val="1"/>
    </font>
    <font>
      <sz val="11"/>
      <color theme="1"/>
      <name val="Cambria"/>
      <family val="1"/>
    </font>
    <font>
      <sz val="11"/>
      <name val="Courier New"/>
      <family val="1"/>
    </font>
    <font>
      <i/>
      <sz val="10"/>
      <color rgb="FFC0E0C8"/>
      <name val="Courier New"/>
      <family val="1"/>
    </font>
    <font>
      <sz val="10"/>
      <color rgb="FFC0E0C8"/>
      <name val="Courier New"/>
      <family val="1"/>
    </font>
    <font>
      <b/>
      <sz val="11"/>
      <color rgb="FF000000"/>
      <name val="Courier New"/>
      <family val="1"/>
    </font>
    <font>
      <b/>
      <sz val="19"/>
      <color rgb="FFFEC737"/>
      <name val="Courier New"/>
      <family val="1"/>
    </font>
    <font>
      <b/>
      <sz val="47"/>
      <color rgb="FFFFFFFF"/>
      <name val="Courier New"/>
      <family val="1"/>
    </font>
    <font>
      <b/>
      <sz val="19"/>
      <color rgb="FFFDC737"/>
      <name val="Courier New"/>
      <family val="1"/>
    </font>
    <font>
      <sz val="12"/>
      <color theme="1"/>
      <name val="Courier New"/>
      <family val="1"/>
    </font>
    <font>
      <b/>
      <sz val="12"/>
      <color rgb="FFFFFFFF"/>
      <name val="Courier New"/>
      <family val="1"/>
    </font>
    <font>
      <b/>
      <sz val="12"/>
      <color rgb="FFFDC737"/>
      <name val="Courier New"/>
      <family val="1"/>
    </font>
    <font>
      <b/>
      <sz val="10"/>
      <color theme="0"/>
      <name val="Courier New"/>
      <family val="1"/>
      <scheme val="major"/>
    </font>
    <font>
      <b/>
      <sz val="19"/>
      <color rgb="FFF2C94C"/>
      <name val="Courier New"/>
      <family val="1"/>
    </font>
    <font>
      <b/>
      <sz val="28"/>
      <color rgb="FFFDC737"/>
      <name val="Courier New"/>
      <family val="1"/>
    </font>
    <font>
      <b/>
      <sz val="22"/>
      <color rgb="FFFDC638"/>
      <name val="Courier New"/>
      <family val="1"/>
    </font>
    <font>
      <b/>
      <sz val="19"/>
      <color rgb="FFFFD84D"/>
      <name val="Courier New"/>
      <family val="1"/>
    </font>
    <font>
      <b/>
      <sz val="10"/>
      <color theme="1"/>
      <name val="Courier New"/>
      <family val="1"/>
    </font>
    <font>
      <b/>
      <sz val="10"/>
      <color theme="0"/>
      <name val="Courier New"/>
      <family val="1"/>
    </font>
    <font>
      <sz val="11"/>
      <color theme="1"/>
      <name val="Courier New"/>
      <family val="1"/>
      <scheme val="minor"/>
    </font>
    <font>
      <b/>
      <sz val="11"/>
      <color rgb="FF000000"/>
      <name val="Courier New"/>
      <family val="1"/>
      <scheme val="minor"/>
    </font>
    <font>
      <b/>
      <sz val="12"/>
      <color rgb="FF001A0A"/>
      <name val="Courier New"/>
      <family val="1"/>
      <scheme val="minor"/>
    </font>
    <font>
      <b/>
      <sz val="19"/>
      <color rgb="FFFDC737"/>
      <name val="Courier New"/>
      <family val="1"/>
      <scheme val="minor"/>
    </font>
    <font>
      <i/>
      <sz val="9"/>
      <color rgb="FFFFFFFF"/>
      <name val="Courier New"/>
      <family val="1"/>
      <scheme val="minor"/>
    </font>
    <font>
      <b/>
      <sz val="18"/>
      <color rgb="FFFFFFFF"/>
      <name val="Courier New"/>
      <family val="1"/>
      <scheme val="minor"/>
    </font>
    <font>
      <sz val="10"/>
      <color theme="1"/>
      <name val="Courier New"/>
      <family val="1"/>
      <scheme val="minor"/>
    </font>
    <font>
      <b/>
      <sz val="11"/>
      <color theme="1"/>
      <name val="Courier New"/>
      <family val="1"/>
      <scheme val="minor"/>
    </font>
    <font>
      <sz val="8"/>
      <color rgb="FFFFFFFF"/>
      <name val="Courier New"/>
      <family val="1"/>
    </font>
    <font>
      <sz val="11"/>
      <color rgb="FF000000"/>
      <name val="Courier New"/>
      <family val="1"/>
    </font>
    <font>
      <sz val="8"/>
      <color rgb="FFFFFFFF"/>
      <name val="Courier New"/>
      <family val="1"/>
      <scheme val="minor"/>
    </font>
    <font>
      <sz val="12"/>
      <color rgb="FFFFFFFF"/>
      <name val="Courier New"/>
      <family val="1"/>
    </font>
    <font>
      <sz val="10"/>
      <color rgb="FFFFFFFF"/>
      <name val="Courier New"/>
      <family val="1"/>
      <scheme val="minor"/>
    </font>
    <font>
      <sz val="10"/>
      <color theme="0"/>
      <name val="Courier New"/>
      <family val="1"/>
      <scheme val="major"/>
    </font>
    <font>
      <sz val="11"/>
      <color rgb="FF041A0C"/>
      <name val="Courier New"/>
      <family val="1"/>
    </font>
    <font>
      <b/>
      <sz val="11"/>
      <color rgb="FF041A0C"/>
      <name val="Courier New"/>
      <family val="1"/>
    </font>
    <font>
      <b/>
      <sz val="11"/>
      <color theme="0"/>
      <name val="Courier New"/>
      <family val="1"/>
    </font>
    <font>
      <b/>
      <sz val="10"/>
      <color rgb="FF041A0C"/>
      <name val="Courier New"/>
      <family val="1"/>
    </font>
    <font>
      <sz val="10"/>
      <color rgb="FFFFD84D"/>
      <name val="Courier New"/>
      <family val="1"/>
    </font>
    <font>
      <b/>
      <sz val="20"/>
      <color rgb="FFFDC737"/>
      <name val="Courier New"/>
      <family val="1"/>
    </font>
    <font>
      <b/>
      <sz val="12"/>
      <color theme="0"/>
      <name val="Courier New"/>
      <family val="1"/>
    </font>
    <font>
      <i/>
      <sz val="10"/>
      <color rgb="FF888888"/>
      <name val="Courier New"/>
      <family val="1"/>
    </font>
    <font>
      <b/>
      <sz val="11"/>
      <color rgb="FF001A0A"/>
      <name val="Courier New"/>
      <family val="1"/>
    </font>
    <font>
      <b/>
      <sz val="11"/>
      <color rgb="FF1DA74A"/>
      <name val="Courier New"/>
      <family val="1"/>
    </font>
    <font>
      <sz val="10"/>
      <color theme="0"/>
      <name val="Courier New"/>
      <family val="1"/>
    </font>
    <font>
      <b/>
      <sz val="12"/>
      <color rgb="FF92D050"/>
      <name val="Courier New"/>
      <family val="1"/>
    </font>
    <font>
      <b/>
      <sz val="12"/>
      <color rgb="FFFEC737"/>
      <name val="Courier New"/>
      <family val="1"/>
    </font>
    <font>
      <b/>
      <sz val="12"/>
      <color rgb="FF000000"/>
      <name val="Courier New"/>
      <family val="1"/>
    </font>
    <font>
      <b/>
      <sz val="14"/>
      <color theme="0"/>
      <name val="Courier New"/>
      <family val="1"/>
    </font>
    <font>
      <b/>
      <sz val="10"/>
      <color rgb="FF000000"/>
      <name val="Courier New"/>
      <family val="1"/>
    </font>
    <font>
      <b/>
      <sz val="12"/>
      <color rgb="FFF0F0F0"/>
      <name val="Courier New"/>
      <family val="1"/>
    </font>
    <font>
      <b/>
      <sz val="12"/>
      <color rgb="FFD2A55E"/>
      <name val="Courier New"/>
      <family val="1"/>
    </font>
    <font>
      <i/>
      <sz val="12"/>
      <color theme="0"/>
      <name val="Courier New"/>
      <family val="1"/>
    </font>
    <font>
      <sz val="10"/>
      <color rgb="FF1FA64A"/>
      <name val="Courier New"/>
      <family val="1"/>
    </font>
    <font>
      <sz val="12"/>
      <color theme="1"/>
      <name val="Cambria"/>
      <family val="1"/>
    </font>
    <font>
      <sz val="12"/>
      <color theme="0"/>
      <name val="Courier New"/>
      <family val="1"/>
    </font>
    <font>
      <sz val="12"/>
      <color rgb="FF001A0A"/>
      <name val="Courier New"/>
      <family val="1"/>
    </font>
    <font>
      <b/>
      <sz val="19"/>
      <color rgb="FFFEC737"/>
      <name val="Courier New"/>
      <family val="1"/>
    </font>
  </fonts>
  <fills count="33">
    <fill>
      <patternFill patternType="none"/>
    </fill>
    <fill>
      <patternFill patternType="gray125"/>
    </fill>
    <fill>
      <patternFill patternType="solid">
        <fgColor rgb="FF001A0A"/>
        <bgColor rgb="FF00190A"/>
      </patternFill>
    </fill>
    <fill>
      <patternFill patternType="solid">
        <fgColor rgb="FFFDC737"/>
        <bgColor rgb="FFFEC737"/>
      </patternFill>
    </fill>
    <fill>
      <patternFill patternType="solid">
        <fgColor rgb="FF041B0D"/>
        <bgColor rgb="FF041A0D"/>
      </patternFill>
    </fill>
    <fill>
      <patternFill patternType="solid">
        <fgColor rgb="FF041A0D"/>
        <bgColor rgb="FF041B0D"/>
      </patternFill>
    </fill>
    <fill>
      <patternFill patternType="solid">
        <fgColor rgb="FF1FA64A"/>
        <bgColor rgb="FF029037"/>
      </patternFill>
    </fill>
    <fill>
      <patternFill patternType="solid">
        <fgColor rgb="FF001809"/>
        <bgColor rgb="FF00190A"/>
      </patternFill>
    </fill>
    <fill>
      <patternFill patternType="solid">
        <fgColor rgb="FF08431F"/>
        <bgColor rgb="FF0B5E2B"/>
      </patternFill>
    </fill>
    <fill>
      <patternFill patternType="solid">
        <fgColor rgb="FF0B5E2B"/>
        <bgColor rgb="FF08431F"/>
      </patternFill>
    </fill>
    <fill>
      <patternFill patternType="solid">
        <fgColor rgb="FF00190A"/>
        <bgColor rgb="FF001A0A"/>
      </patternFill>
    </fill>
    <fill>
      <patternFill patternType="solid">
        <fgColor rgb="FF001A0A"/>
      </patternFill>
    </fill>
    <fill>
      <patternFill patternType="solid">
        <fgColor rgb="FF001809"/>
      </patternFill>
    </fill>
    <fill>
      <patternFill patternType="solid">
        <fgColor rgb="FF92D050"/>
        <bgColor rgb="FF041A0D"/>
      </patternFill>
    </fill>
    <fill>
      <patternFill patternType="solid">
        <fgColor rgb="FF041A0C"/>
        <bgColor rgb="FF08431F"/>
      </patternFill>
    </fill>
    <fill>
      <patternFill patternType="solid">
        <fgColor rgb="FF041A0C"/>
        <bgColor indexed="64"/>
      </patternFill>
    </fill>
    <fill>
      <patternFill patternType="solid">
        <fgColor rgb="FF041A0C"/>
        <bgColor rgb="FF0B5E2B"/>
      </patternFill>
    </fill>
    <fill>
      <patternFill patternType="solid">
        <fgColor rgb="FF8AC64D"/>
        <bgColor rgb="FF041A0D"/>
      </patternFill>
    </fill>
    <fill>
      <patternFill patternType="solid">
        <fgColor rgb="FF041A0C"/>
      </patternFill>
    </fill>
    <fill>
      <patternFill patternType="solid">
        <fgColor rgb="FF041A0C"/>
        <bgColor rgb="FF001A0A"/>
      </patternFill>
    </fill>
    <fill>
      <patternFill patternType="solid">
        <fgColor rgb="FF041A0C"/>
        <bgColor rgb="FF041A0D"/>
      </patternFill>
    </fill>
    <fill>
      <patternFill patternType="solid">
        <fgColor rgb="FF1DA74A"/>
        <bgColor rgb="FF029037"/>
      </patternFill>
    </fill>
    <fill>
      <patternFill patternType="solid">
        <fgColor rgb="FF1DA74A"/>
        <bgColor rgb="FF0B5E2B"/>
      </patternFill>
    </fill>
    <fill>
      <patternFill patternType="solid">
        <fgColor rgb="FFFFC000"/>
        <bgColor rgb="FF041A0D"/>
      </patternFill>
    </fill>
    <fill>
      <patternFill patternType="solid">
        <fgColor rgb="FFFFC000"/>
        <bgColor indexed="64"/>
      </patternFill>
    </fill>
    <fill>
      <patternFill patternType="solid">
        <fgColor rgb="FF001A0A"/>
      </patternFill>
    </fill>
    <fill>
      <patternFill patternType="solid">
        <fgColor rgb="FF038D36"/>
        <bgColor indexed="64"/>
      </patternFill>
    </fill>
    <fill>
      <patternFill patternType="solid">
        <fgColor rgb="FF041A0C"/>
        <bgColor rgb="FF00190A"/>
      </patternFill>
    </fill>
    <fill>
      <patternFill patternType="solid">
        <fgColor rgb="FF041B0D"/>
      </patternFill>
    </fill>
    <fill>
      <patternFill patternType="solid">
        <fgColor rgb="FF031A0C"/>
        <bgColor indexed="64"/>
      </patternFill>
    </fill>
    <fill>
      <patternFill patternType="solid">
        <fgColor rgb="FFFEC737"/>
        <bgColor indexed="64"/>
      </patternFill>
    </fill>
    <fill>
      <patternFill patternType="solid">
        <fgColor rgb="FF00190A"/>
        <bgColor indexed="64"/>
      </patternFill>
    </fill>
    <fill>
      <patternFill patternType="solid">
        <fgColor rgb="FF00190A"/>
        <bgColor rgb="FF00190A"/>
      </patternFill>
    </fill>
  </fills>
  <borders count="76">
    <border>
      <left/>
      <right/>
      <top/>
      <bottom/>
      <diagonal/>
    </border>
    <border>
      <left/>
      <right/>
      <top style="thin">
        <color rgb="FF029037"/>
      </top>
      <bottom/>
      <diagonal/>
    </border>
    <border>
      <left/>
      <right style="thin">
        <color rgb="FF029037"/>
      </right>
      <top style="thin">
        <color rgb="FF029037"/>
      </top>
      <bottom/>
      <diagonal/>
    </border>
    <border>
      <left style="thin">
        <color rgb="FF058D36"/>
      </left>
      <right/>
      <top/>
      <bottom/>
      <diagonal/>
    </border>
    <border>
      <left style="thick">
        <color rgb="FFEFA802"/>
      </left>
      <right style="thick">
        <color rgb="FFEFA802"/>
      </right>
      <top style="thick">
        <color rgb="FFEFA802"/>
      </top>
      <bottom style="thick">
        <color rgb="FFEFA802"/>
      </bottom>
      <diagonal/>
    </border>
    <border>
      <left/>
      <right style="thin">
        <color rgb="FF029037"/>
      </right>
      <top/>
      <bottom/>
      <diagonal/>
    </border>
    <border>
      <left/>
      <right style="thin">
        <color rgb="FF058D36"/>
      </right>
      <top/>
      <bottom/>
      <diagonal/>
    </border>
    <border>
      <left/>
      <right/>
      <top/>
      <bottom style="thin">
        <color rgb="FF058D36"/>
      </bottom>
      <diagonal/>
    </border>
    <border>
      <left style="thin">
        <color rgb="FF058D36"/>
      </left>
      <right style="thin">
        <color rgb="FF058D36"/>
      </right>
      <top style="thin">
        <color rgb="FF058D36"/>
      </top>
      <bottom/>
      <diagonal/>
    </border>
    <border>
      <left style="thin">
        <color rgb="FF058D36"/>
      </left>
      <right style="thin">
        <color rgb="FF058D36"/>
      </right>
      <top/>
      <bottom/>
      <diagonal/>
    </border>
    <border>
      <left style="thin">
        <color rgb="FF058D36"/>
      </left>
      <right style="thin">
        <color rgb="FF058D36"/>
      </right>
      <top/>
      <bottom style="thin">
        <color rgb="FF058D36"/>
      </bottom>
      <diagonal/>
    </border>
    <border>
      <left/>
      <right/>
      <top style="thin">
        <color rgb="FF058D36"/>
      </top>
      <bottom/>
      <diagonal/>
    </border>
    <border>
      <left/>
      <right style="thin">
        <color rgb="FF058D36"/>
      </right>
      <top style="thin">
        <color rgb="FF058D36"/>
      </top>
      <bottom/>
      <diagonal/>
    </border>
    <border>
      <left style="thin">
        <color rgb="FF058D36"/>
      </left>
      <right/>
      <top/>
      <bottom style="thin">
        <color rgb="FF058D36"/>
      </bottom>
      <diagonal/>
    </border>
    <border>
      <left/>
      <right style="thin">
        <color rgb="FF058D36"/>
      </right>
      <top/>
      <bottom style="thin">
        <color rgb="FF058D36"/>
      </bottom>
      <diagonal/>
    </border>
    <border>
      <left/>
      <right/>
      <top/>
      <bottom style="thin">
        <color rgb="FF1FA64A"/>
      </bottom>
      <diagonal/>
    </border>
    <border>
      <left/>
      <right/>
      <top style="thin">
        <color rgb="FF1FA64A"/>
      </top>
      <bottom/>
      <diagonal/>
    </border>
    <border>
      <left/>
      <right style="thin">
        <color rgb="FF1FA64A"/>
      </right>
      <top style="thin">
        <color rgb="FF1FA64A"/>
      </top>
      <bottom/>
      <diagonal/>
    </border>
    <border>
      <left/>
      <right style="thin">
        <color rgb="FF1FA64A"/>
      </right>
      <top/>
      <bottom/>
      <diagonal/>
    </border>
    <border>
      <left style="thin">
        <color rgb="FF1FA64A"/>
      </left>
      <right/>
      <top/>
      <bottom/>
      <diagonal/>
    </border>
    <border>
      <left style="thin">
        <color rgb="FF1FA64A"/>
      </left>
      <right/>
      <top/>
      <bottom style="thin">
        <color rgb="FF1FA64A"/>
      </bottom>
      <diagonal/>
    </border>
    <border>
      <left/>
      <right style="thin">
        <color rgb="FF1FA64A"/>
      </right>
      <top/>
      <bottom style="thin">
        <color rgb="FF1FA64A"/>
      </bottom>
      <diagonal/>
    </border>
    <border>
      <left style="thin">
        <color rgb="FF1FA64A"/>
      </left>
      <right style="thin">
        <color rgb="FF1FA64A"/>
      </right>
      <top style="thin">
        <color rgb="FF1FA64A"/>
      </top>
      <bottom/>
      <diagonal/>
    </border>
    <border>
      <left style="thin">
        <color rgb="FF1FA64A"/>
      </left>
      <right style="thin">
        <color rgb="FF1FA64A"/>
      </right>
      <top style="thin">
        <color rgb="FF1FA64A"/>
      </top>
      <bottom style="thin">
        <color rgb="FF1FA64A"/>
      </bottom>
      <diagonal/>
    </border>
    <border>
      <left style="thin">
        <color rgb="FFC5CFE0"/>
      </left>
      <right style="thin">
        <color rgb="FFC5CFE0"/>
      </right>
      <top style="thin">
        <color rgb="FFC5CFE0"/>
      </top>
      <bottom style="thin">
        <color rgb="FFC5CFE0"/>
      </bottom>
      <diagonal/>
    </border>
    <border>
      <left style="thick">
        <color rgb="FFEFA802"/>
      </left>
      <right style="thick">
        <color rgb="FFEFA802"/>
      </right>
      <top style="thick">
        <color rgb="FFEFA802"/>
      </top>
      <bottom/>
      <diagonal/>
    </border>
    <border>
      <left/>
      <right style="thin">
        <color rgb="FFC5CFE0"/>
      </right>
      <top style="thin">
        <color rgb="FFC5CFE0"/>
      </top>
      <bottom style="thin">
        <color rgb="FFC5CFE0"/>
      </bottom>
      <diagonal/>
    </border>
    <border>
      <left/>
      <right/>
      <top style="thin">
        <color rgb="FF08431F"/>
      </top>
      <bottom style="thin">
        <color rgb="FF08431F"/>
      </bottom>
      <diagonal/>
    </border>
    <border>
      <left/>
      <right/>
      <top/>
      <bottom style="thin">
        <color rgb="FF08431F"/>
      </bottom>
      <diagonal/>
    </border>
    <border>
      <left/>
      <right/>
      <top style="thick">
        <color rgb="FFEFA802"/>
      </top>
      <bottom/>
      <diagonal/>
    </border>
    <border>
      <left style="thick">
        <color rgb="FFEFA802"/>
      </left>
      <right/>
      <top/>
      <bottom/>
      <diagonal/>
    </border>
    <border>
      <left/>
      <right style="thick">
        <color rgb="FFEFA802"/>
      </right>
      <top style="thick">
        <color rgb="FFEFA802"/>
      </top>
      <bottom/>
      <diagonal/>
    </border>
    <border>
      <left/>
      <right style="thick">
        <color rgb="FFEFA802"/>
      </right>
      <top/>
      <bottom/>
      <diagonal/>
    </border>
    <border>
      <left style="thick">
        <color rgb="FFEFA802"/>
      </left>
      <right/>
      <top/>
      <bottom style="thick">
        <color rgb="FFEFA802"/>
      </bottom>
      <diagonal/>
    </border>
    <border>
      <left/>
      <right/>
      <top/>
      <bottom style="thick">
        <color rgb="FFEFA802"/>
      </bottom>
      <diagonal/>
    </border>
    <border>
      <left/>
      <right style="thick">
        <color rgb="FFEFA802"/>
      </right>
      <top/>
      <bottom style="thick">
        <color rgb="FFEFA802"/>
      </bottom>
      <diagonal/>
    </border>
    <border>
      <left/>
      <right/>
      <top style="thick">
        <color rgb="FFEFA802"/>
      </top>
      <bottom style="thick">
        <color rgb="FFEFA802"/>
      </bottom>
      <diagonal/>
    </border>
    <border>
      <left/>
      <right style="thick">
        <color rgb="FFEFA802"/>
      </right>
      <top style="thick">
        <color rgb="FFEFA802"/>
      </top>
      <bottom style="thick">
        <color rgb="FFEFA802"/>
      </bottom>
      <diagonal/>
    </border>
    <border>
      <left/>
      <right/>
      <top style="thin">
        <color rgb="FF1FA64A"/>
      </top>
      <bottom style="thin">
        <color rgb="FF1FA64A"/>
      </bottom>
      <diagonal/>
    </border>
    <border>
      <left/>
      <right style="thin">
        <color rgb="FF1FA64A"/>
      </right>
      <top style="thin">
        <color rgb="FF1FA64A"/>
      </top>
      <bottom style="thin">
        <color rgb="FF1FA64A"/>
      </bottom>
      <diagonal/>
    </border>
    <border>
      <left/>
      <right/>
      <top/>
      <bottom/>
      <diagonal/>
    </border>
    <border>
      <left/>
      <right/>
      <top/>
      <bottom/>
      <diagonal/>
    </border>
    <border>
      <left style="thin">
        <color rgb="FF038D36"/>
      </left>
      <right style="thin">
        <color rgb="FF038D36"/>
      </right>
      <top style="thin">
        <color rgb="FF038D36"/>
      </top>
      <bottom style="thin">
        <color rgb="FF038D36"/>
      </bottom>
      <diagonal/>
    </border>
    <border>
      <left style="thin">
        <color rgb="FF038D36"/>
      </left>
      <right/>
      <top style="thin">
        <color rgb="FF038D36"/>
      </top>
      <bottom/>
      <diagonal/>
    </border>
    <border>
      <left/>
      <right/>
      <top style="thin">
        <color rgb="FF038D36"/>
      </top>
      <bottom/>
      <diagonal/>
    </border>
    <border>
      <left/>
      <right style="thin">
        <color rgb="FF038D36"/>
      </right>
      <top style="thin">
        <color rgb="FF038D36"/>
      </top>
      <bottom/>
      <diagonal/>
    </border>
    <border>
      <left style="thin">
        <color rgb="FF038D36"/>
      </left>
      <right/>
      <top/>
      <bottom/>
      <diagonal/>
    </border>
    <border>
      <left/>
      <right style="thin">
        <color rgb="FF038D36"/>
      </right>
      <top/>
      <bottom/>
      <diagonal/>
    </border>
    <border>
      <left style="thin">
        <color rgb="FF038D36"/>
      </left>
      <right/>
      <top/>
      <bottom style="thin">
        <color rgb="FF038D36"/>
      </bottom>
      <diagonal/>
    </border>
    <border>
      <left/>
      <right/>
      <top/>
      <bottom style="thin">
        <color rgb="FF038D36"/>
      </bottom>
      <diagonal/>
    </border>
    <border>
      <left/>
      <right style="thin">
        <color rgb="FF038D36"/>
      </right>
      <top/>
      <bottom style="thin">
        <color rgb="FF038D36"/>
      </bottom>
      <diagonal/>
    </border>
    <border>
      <left style="thin">
        <color rgb="FF1FA64A"/>
      </left>
      <right/>
      <top style="thin">
        <color rgb="FF1FA64A"/>
      </top>
      <bottom style="thin">
        <color rgb="FF1FA64A"/>
      </bottom>
      <diagonal/>
    </border>
    <border>
      <left style="thin">
        <color rgb="FF1FA64A"/>
      </left>
      <right style="thin">
        <color rgb="FF1FA64A"/>
      </right>
      <top/>
      <bottom style="thin">
        <color rgb="FF1FA64A"/>
      </bottom>
      <diagonal/>
    </border>
    <border>
      <left style="thin">
        <color rgb="FF1DA74A"/>
      </left>
      <right style="thin">
        <color rgb="FF1DA74A"/>
      </right>
      <top style="thin">
        <color rgb="FF1DA74A"/>
      </top>
      <bottom style="thin">
        <color rgb="FF1DA74A"/>
      </bottom>
      <diagonal/>
    </border>
    <border>
      <left/>
      <right/>
      <top style="thin">
        <color theme="0"/>
      </top>
      <bottom/>
      <diagonal/>
    </border>
    <border>
      <left/>
      <right/>
      <top/>
      <bottom style="thin">
        <color theme="0"/>
      </bottom>
      <diagonal/>
    </border>
    <border>
      <left/>
      <right/>
      <top/>
      <bottom style="thin">
        <color rgb="FF00401D"/>
      </bottom>
      <diagonal/>
    </border>
    <border>
      <left/>
      <right/>
      <top style="thin">
        <color rgb="FF00401D"/>
      </top>
      <bottom style="thin">
        <color rgb="FF00401D"/>
      </bottom>
      <diagonal/>
    </border>
    <border>
      <left style="thin">
        <color rgb="FF00401D"/>
      </left>
      <right/>
      <top/>
      <bottom style="thin">
        <color rgb="FF00401D"/>
      </bottom>
      <diagonal/>
    </border>
    <border>
      <left style="thin">
        <color rgb="FF00401D"/>
      </left>
      <right/>
      <top style="thin">
        <color rgb="FF00401D"/>
      </top>
      <bottom style="thin">
        <color rgb="FF00401D"/>
      </bottom>
      <diagonal/>
    </border>
    <border>
      <left/>
      <right style="thin">
        <color rgb="FF00401D"/>
      </right>
      <top/>
      <bottom style="thin">
        <color rgb="FF00401D"/>
      </bottom>
      <diagonal/>
    </border>
    <border>
      <left/>
      <right style="thin">
        <color rgb="FF00401D"/>
      </right>
      <top style="thin">
        <color rgb="FF00401D"/>
      </top>
      <bottom style="thin">
        <color rgb="FF00401D"/>
      </bottom>
      <diagonal/>
    </border>
    <border>
      <left style="thin">
        <color rgb="FF00401D"/>
      </left>
      <right style="thin">
        <color rgb="FF00401D"/>
      </right>
      <top style="thin">
        <color rgb="FF00401D"/>
      </top>
      <bottom style="thin">
        <color rgb="FF00401D"/>
      </bottom>
      <diagonal/>
    </border>
    <border>
      <left style="thin">
        <color rgb="FF041A0C"/>
      </left>
      <right style="thin">
        <color rgb="FF041A0C"/>
      </right>
      <top style="thin">
        <color rgb="FF041A0C"/>
      </top>
      <bottom style="thin">
        <color rgb="FF041A0C"/>
      </bottom>
      <diagonal/>
    </border>
    <border>
      <left style="thin">
        <color rgb="FF009036"/>
      </left>
      <right style="thin">
        <color rgb="FF009036"/>
      </right>
      <top style="thin">
        <color rgb="FF009036"/>
      </top>
      <bottom style="thin">
        <color rgb="FF009036"/>
      </bottom>
      <diagonal/>
    </border>
    <border>
      <left style="thin">
        <color rgb="FF00401D"/>
      </left>
      <right style="thin">
        <color rgb="FF00401D"/>
      </right>
      <top/>
      <bottom style="thin">
        <color rgb="FF00401D"/>
      </bottom>
      <diagonal/>
    </border>
    <border>
      <left/>
      <right/>
      <top style="thin">
        <color rgb="FF041A0C"/>
      </top>
      <bottom style="thin">
        <color rgb="FF041A0C"/>
      </bottom>
      <diagonal/>
    </border>
    <border>
      <left/>
      <right style="thin">
        <color rgb="FF041A0C"/>
      </right>
      <top style="thin">
        <color rgb="FF041A0C"/>
      </top>
      <bottom style="thin">
        <color rgb="FF041A0C"/>
      </bottom>
      <diagonal/>
    </border>
    <border>
      <left/>
      <right/>
      <top style="thin">
        <color rgb="FF1DA74A"/>
      </top>
      <bottom/>
      <diagonal/>
    </border>
    <border>
      <left/>
      <right/>
      <top/>
      <bottom style="thin">
        <color rgb="FF1DA74A"/>
      </bottom>
      <diagonal/>
    </border>
    <border>
      <left style="thin">
        <color rgb="FF1DA74A"/>
      </left>
      <right/>
      <top/>
      <bottom/>
      <diagonal/>
    </border>
    <border>
      <left/>
      <right style="thin">
        <color rgb="FF1DA74A"/>
      </right>
      <top/>
      <bottom/>
      <diagonal/>
    </border>
    <border>
      <left/>
      <right/>
      <top style="thin">
        <color rgb="FF1FA64A"/>
      </top>
      <bottom style="thin">
        <color rgb="FF1DA74A"/>
      </bottom>
      <diagonal/>
    </border>
    <border>
      <left/>
      <right/>
      <top style="thin">
        <color rgb="FF00401D"/>
      </top>
      <bottom style="thin">
        <color rgb="FF1DA74A"/>
      </bottom>
      <diagonal/>
    </border>
    <border>
      <left style="medium">
        <color rgb="FFEFA802"/>
      </left>
      <right style="medium">
        <color rgb="FFEFA802"/>
      </right>
      <top style="medium">
        <color rgb="FFEFA802"/>
      </top>
      <bottom style="medium">
        <color rgb="FFEFA802"/>
      </bottom>
      <diagonal/>
    </border>
    <border>
      <left/>
      <right/>
      <top style="thin">
        <color rgb="FF08431F"/>
      </top>
      <bottom style="thin">
        <color rgb="FF1DA74A"/>
      </bottom>
      <diagonal/>
    </border>
  </borders>
  <cellStyleXfs count="1">
    <xf numFmtId="0" fontId="0" fillId="0" borderId="41"/>
  </cellStyleXfs>
  <cellXfs count="390">
    <xf numFmtId="0" fontId="0" fillId="0" borderId="0" xfId="0" applyBorder="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6" fillId="2" borderId="0" xfId="0" applyFont="1" applyFill="1" applyBorder="1"/>
    <xf numFmtId="0" fontId="1" fillId="2" borderId="15" xfId="0" applyFont="1" applyFill="1" applyBorder="1"/>
    <xf numFmtId="0" fontId="8" fillId="2" borderId="0" xfId="0" applyFont="1" applyFill="1" applyBorder="1"/>
    <xf numFmtId="0" fontId="1" fillId="2" borderId="20" xfId="0" applyFont="1" applyFill="1" applyBorder="1"/>
    <xf numFmtId="0" fontId="1" fillId="2" borderId="21" xfId="0" applyFont="1" applyFill="1" applyBorder="1"/>
    <xf numFmtId="0" fontId="9" fillId="5" borderId="0" xfId="0" applyFont="1" applyFill="1" applyBorder="1" applyAlignment="1">
      <alignment horizontal="center" vertical="center"/>
    </xf>
    <xf numFmtId="0" fontId="8" fillId="5" borderId="0" xfId="0" applyFont="1" applyFill="1" applyBorder="1"/>
    <xf numFmtId="0" fontId="10" fillId="5" borderId="0" xfId="0" applyFont="1" applyFill="1" applyBorder="1" applyAlignment="1">
      <alignment horizontal="center" vertical="center"/>
    </xf>
    <xf numFmtId="0" fontId="1" fillId="5" borderId="0" xfId="0" applyFont="1" applyFill="1" applyBorder="1"/>
    <xf numFmtId="0" fontId="11" fillId="5" borderId="0" xfId="0" applyFont="1" applyFill="1" applyBorder="1" applyAlignment="1">
      <alignment horizontal="center" vertical="center"/>
    </xf>
    <xf numFmtId="0" fontId="12" fillId="5" borderId="0" xfId="0" applyFont="1" applyFill="1" applyBorder="1" applyAlignment="1">
      <alignment horizontal="center" vertical="center"/>
    </xf>
    <xf numFmtId="0" fontId="13" fillId="5" borderId="0" xfId="0" applyFont="1" applyFill="1" applyBorder="1"/>
    <xf numFmtId="0" fontId="14" fillId="5" borderId="0" xfId="0" applyFont="1" applyFill="1" applyBorder="1"/>
    <xf numFmtId="0" fontId="15" fillId="5" borderId="0" xfId="0" applyFont="1" applyFill="1" applyBorder="1"/>
    <xf numFmtId="0" fontId="16" fillId="6" borderId="23" xfId="0" applyFont="1" applyFill="1" applyBorder="1" applyAlignment="1">
      <alignment horizontal="center" vertical="center" wrapText="1"/>
    </xf>
    <xf numFmtId="0" fontId="17" fillId="5" borderId="0" xfId="0" applyFont="1" applyFill="1" applyBorder="1"/>
    <xf numFmtId="0" fontId="16" fillId="5" borderId="23" xfId="0" applyFont="1" applyFill="1" applyBorder="1" applyAlignment="1">
      <alignment horizontal="center"/>
    </xf>
    <xf numFmtId="0" fontId="16" fillId="5" borderId="0" xfId="0" applyFont="1" applyFill="1" applyBorder="1" applyAlignment="1">
      <alignment horizontal="center"/>
    </xf>
    <xf numFmtId="0" fontId="18" fillId="5" borderId="0" xfId="0" applyFont="1" applyFill="1" applyBorder="1"/>
    <xf numFmtId="0" fontId="9" fillId="7" borderId="0" xfId="0" applyFont="1" applyFill="1" applyBorder="1" applyAlignment="1">
      <alignment horizontal="center" vertical="center"/>
    </xf>
    <xf numFmtId="0" fontId="8" fillId="7" borderId="0" xfId="0" applyFont="1" applyFill="1" applyBorder="1"/>
    <xf numFmtId="0" fontId="10" fillId="7" borderId="0" xfId="0" applyFont="1" applyFill="1" applyBorder="1" applyAlignment="1">
      <alignment horizontal="center" vertical="center"/>
    </xf>
    <xf numFmtId="0" fontId="19" fillId="7" borderId="0" xfId="0" applyFont="1" applyFill="1" applyBorder="1" applyAlignment="1">
      <alignment horizontal="center" vertical="center"/>
    </xf>
    <xf numFmtId="164" fontId="10" fillId="7" borderId="0" xfId="0" applyNumberFormat="1" applyFont="1" applyFill="1" applyBorder="1" applyAlignment="1">
      <alignment horizontal="center" vertical="center"/>
    </xf>
    <xf numFmtId="164" fontId="8" fillId="7" borderId="0" xfId="0" applyNumberFormat="1" applyFont="1" applyFill="1" applyBorder="1"/>
    <xf numFmtId="0" fontId="5" fillId="7" borderId="0" xfId="0" applyFont="1" applyFill="1" applyBorder="1" applyAlignment="1">
      <alignment horizontal="center" vertical="center"/>
    </xf>
    <xf numFmtId="0" fontId="15" fillId="7" borderId="0" xfId="0" applyFont="1" applyFill="1" applyBorder="1"/>
    <xf numFmtId="164" fontId="15" fillId="7" borderId="0" xfId="0" applyNumberFormat="1" applyFont="1" applyFill="1" applyBorder="1"/>
    <xf numFmtId="164" fontId="15" fillId="7" borderId="0" xfId="0" applyNumberFormat="1" applyFont="1" applyFill="1" applyBorder="1" applyAlignment="1">
      <alignment horizontal="center"/>
    </xf>
    <xf numFmtId="0" fontId="5" fillId="7" borderId="0" xfId="0" applyFont="1" applyFill="1" applyBorder="1" applyAlignment="1">
      <alignment horizontal="left" vertical="center"/>
    </xf>
    <xf numFmtId="0" fontId="21" fillId="7" borderId="0" xfId="0" applyFont="1" applyFill="1" applyBorder="1" applyAlignment="1">
      <alignment horizontal="left" vertical="center"/>
    </xf>
    <xf numFmtId="0" fontId="10" fillId="7" borderId="24" xfId="0" applyFont="1" applyFill="1" applyBorder="1" applyAlignment="1">
      <alignment horizontal="center"/>
    </xf>
    <xf numFmtId="164" fontId="10" fillId="7" borderId="24" xfId="0" applyNumberFormat="1" applyFont="1" applyFill="1" applyBorder="1" applyAlignment="1">
      <alignment horizontal="center"/>
    </xf>
    <xf numFmtId="0" fontId="8" fillId="7" borderId="24" xfId="0" applyFont="1" applyFill="1" applyBorder="1" applyAlignment="1">
      <alignment horizontal="center"/>
    </xf>
    <xf numFmtId="0" fontId="22" fillId="7" borderId="24" xfId="0" applyFont="1" applyFill="1" applyBorder="1" applyAlignment="1">
      <alignment horizontal="left"/>
    </xf>
    <xf numFmtId="164" fontId="8" fillId="7" borderId="24" xfId="0" applyNumberFormat="1" applyFont="1" applyFill="1" applyBorder="1" applyAlignment="1">
      <alignment horizontal="center"/>
    </xf>
    <xf numFmtId="0" fontId="23" fillId="4" borderId="0" xfId="0" applyFont="1" applyFill="1" applyBorder="1" applyAlignment="1">
      <alignment horizontal="center" vertical="center"/>
    </xf>
    <xf numFmtId="0" fontId="8" fillId="4" borderId="0" xfId="0" applyFont="1" applyFill="1" applyBorder="1"/>
    <xf numFmtId="0" fontId="10" fillId="4" borderId="0" xfId="0" applyFont="1" applyFill="1" applyBorder="1" applyAlignment="1">
      <alignment horizontal="center" vertical="center"/>
    </xf>
    <xf numFmtId="0" fontId="1" fillId="4" borderId="0" xfId="0" applyFont="1" applyFill="1" applyBorder="1"/>
    <xf numFmtId="0" fontId="9" fillId="4" borderId="0" xfId="0" applyFont="1" applyFill="1" applyBorder="1" applyAlignment="1">
      <alignment horizontal="center" vertical="center"/>
    </xf>
    <xf numFmtId="0" fontId="9"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3" fillId="4" borderId="0" xfId="0" applyFont="1" applyFill="1" applyBorder="1"/>
    <xf numFmtId="0" fontId="14" fillId="4" borderId="0" xfId="0" applyFont="1" applyFill="1" applyBorder="1"/>
    <xf numFmtId="0" fontId="10" fillId="4" borderId="26" xfId="0" applyFont="1" applyFill="1" applyBorder="1" applyAlignment="1">
      <alignment horizontal="center" vertical="center" wrapText="1"/>
    </xf>
    <xf numFmtId="0" fontId="10" fillId="4" borderId="0" xfId="0" applyFont="1" applyFill="1" applyBorder="1" applyAlignment="1">
      <alignment horizontal="center"/>
    </xf>
    <xf numFmtId="0" fontId="24" fillId="8" borderId="0" xfId="0" applyFont="1" applyFill="1" applyBorder="1" applyAlignment="1">
      <alignment horizontal="center" vertical="center"/>
    </xf>
    <xf numFmtId="0" fontId="25" fillId="8" borderId="0" xfId="0" applyFont="1" applyFill="1" applyBorder="1"/>
    <xf numFmtId="0" fontId="26" fillId="4" borderId="0" xfId="0" applyFont="1" applyFill="1" applyBorder="1" applyAlignment="1">
      <alignment horizontal="center"/>
    </xf>
    <xf numFmtId="165" fontId="8" fillId="4" borderId="26" xfId="0" applyNumberFormat="1" applyFont="1" applyFill="1" applyBorder="1"/>
    <xf numFmtId="1" fontId="8" fillId="4" borderId="0" xfId="0" applyNumberFormat="1" applyFont="1" applyFill="1" applyBorder="1"/>
    <xf numFmtId="0" fontId="27" fillId="9" borderId="0" xfId="0" applyFont="1" applyFill="1" applyBorder="1" applyAlignment="1">
      <alignment horizontal="left" vertical="center" wrapText="1"/>
    </xf>
    <xf numFmtId="0" fontId="8" fillId="4" borderId="24" xfId="0" applyFont="1" applyFill="1" applyBorder="1"/>
    <xf numFmtId="1" fontId="8" fillId="4" borderId="24" xfId="0" applyNumberFormat="1" applyFont="1" applyFill="1" applyBorder="1"/>
    <xf numFmtId="0" fontId="8" fillId="10" borderId="0" xfId="0" applyFont="1" applyFill="1" applyBorder="1"/>
    <xf numFmtId="0" fontId="1" fillId="10" borderId="0" xfId="0" applyFont="1" applyFill="1" applyBorder="1"/>
    <xf numFmtId="0" fontId="29" fillId="9" borderId="0" xfId="0" applyFont="1" applyFill="1" applyBorder="1" applyAlignment="1">
      <alignment horizontal="left" vertical="center"/>
    </xf>
    <xf numFmtId="0" fontId="32" fillId="2" borderId="0" xfId="0" applyFont="1" applyFill="1" applyBorder="1"/>
    <xf numFmtId="0" fontId="31" fillId="10" borderId="0" xfId="0" applyFont="1" applyFill="1" applyBorder="1"/>
    <xf numFmtId="0" fontId="33" fillId="11" borderId="40" xfId="0" applyFont="1" applyFill="1" applyBorder="1" applyAlignment="1">
      <alignment horizontal="left" vertical="center"/>
    </xf>
    <xf numFmtId="1" fontId="33" fillId="11" borderId="40" xfId="0" applyNumberFormat="1" applyFont="1" applyFill="1" applyBorder="1" applyAlignment="1">
      <alignment horizontal="left" vertical="center"/>
    </xf>
    <xf numFmtId="0" fontId="36" fillId="0" borderId="0" xfId="0" applyFont="1" applyBorder="1"/>
    <xf numFmtId="0" fontId="1" fillId="2" borderId="41" xfId="0" applyFont="1" applyFill="1"/>
    <xf numFmtId="0" fontId="6" fillId="2" borderId="41" xfId="0" applyFont="1" applyFill="1"/>
    <xf numFmtId="0" fontId="1" fillId="2" borderId="43" xfId="0" applyFont="1" applyFill="1" applyBorder="1"/>
    <xf numFmtId="0" fontId="1" fillId="2" borderId="44" xfId="0" applyFont="1" applyFill="1" applyBorder="1"/>
    <xf numFmtId="0" fontId="1" fillId="2" borderId="45" xfId="0" applyFont="1" applyFill="1" applyBorder="1"/>
    <xf numFmtId="0" fontId="1" fillId="2" borderId="47" xfId="0" applyFont="1" applyFill="1" applyBorder="1"/>
    <xf numFmtId="0" fontId="1" fillId="2" borderId="46" xfId="0" applyFont="1" applyFill="1" applyBorder="1"/>
    <xf numFmtId="0" fontId="1" fillId="2" borderId="48" xfId="0" applyFont="1" applyFill="1" applyBorder="1"/>
    <xf numFmtId="0" fontId="1" fillId="2" borderId="49" xfId="0" applyFont="1" applyFill="1" applyBorder="1"/>
    <xf numFmtId="0" fontId="1" fillId="2" borderId="50" xfId="0" applyFont="1" applyFill="1" applyBorder="1"/>
    <xf numFmtId="0" fontId="40" fillId="2" borderId="41" xfId="0" applyFont="1" applyFill="1"/>
    <xf numFmtId="0" fontId="43" fillId="6" borderId="23" xfId="0" applyFont="1" applyFill="1" applyBorder="1" applyAlignment="1">
      <alignment horizontal="center" vertical="center" wrapText="1"/>
    </xf>
    <xf numFmtId="0" fontId="43" fillId="5" borderId="23" xfId="0" applyFont="1" applyFill="1" applyBorder="1" applyAlignment="1">
      <alignment horizontal="center"/>
    </xf>
    <xf numFmtId="0" fontId="43" fillId="5" borderId="23" xfId="0" applyFont="1" applyFill="1" applyBorder="1"/>
    <xf numFmtId="0" fontId="1" fillId="2" borderId="0" xfId="0" applyFont="1" applyFill="1" applyBorder="1" applyAlignment="1">
      <alignment vertical="center"/>
    </xf>
    <xf numFmtId="0" fontId="47" fillId="7" borderId="0" xfId="0" applyFont="1" applyFill="1" applyBorder="1"/>
    <xf numFmtId="0" fontId="4" fillId="7" borderId="0" xfId="0" applyFont="1" applyFill="1" applyBorder="1" applyAlignment="1">
      <alignment vertical="center"/>
    </xf>
    <xf numFmtId="164" fontId="48" fillId="7" borderId="0" xfId="0" applyNumberFormat="1" applyFont="1" applyFill="1" applyBorder="1"/>
    <xf numFmtId="0" fontId="49" fillId="6" borderId="23" xfId="0" applyFont="1" applyFill="1" applyBorder="1" applyAlignment="1">
      <alignment horizontal="center"/>
    </xf>
    <xf numFmtId="0" fontId="10" fillId="6" borderId="23" xfId="0" applyFont="1" applyFill="1" applyBorder="1" applyAlignment="1">
      <alignment horizontal="center"/>
    </xf>
    <xf numFmtId="164" fontId="48" fillId="7" borderId="0" xfId="0" applyNumberFormat="1" applyFont="1" applyFill="1" applyBorder="1" applyAlignment="1">
      <alignment horizontal="center"/>
    </xf>
    <xf numFmtId="0" fontId="48" fillId="7" borderId="0" xfId="0" applyFont="1" applyFill="1" applyBorder="1"/>
    <xf numFmtId="0" fontId="50" fillId="2" borderId="0" xfId="0" applyFont="1" applyFill="1" applyBorder="1"/>
    <xf numFmtId="0" fontId="51" fillId="0" borderId="0" xfId="0" applyFont="1" applyBorder="1"/>
    <xf numFmtId="0" fontId="50" fillId="2" borderId="1" xfId="0" applyFont="1" applyFill="1" applyBorder="1"/>
    <xf numFmtId="0" fontId="50" fillId="2" borderId="2" xfId="0" applyFont="1" applyFill="1" applyBorder="1"/>
    <xf numFmtId="0" fontId="50" fillId="2" borderId="3" xfId="0" applyFont="1" applyFill="1" applyBorder="1"/>
    <xf numFmtId="0" fontId="50" fillId="2" borderId="5" xfId="0" applyFont="1" applyFill="1" applyBorder="1"/>
    <xf numFmtId="0" fontId="50" fillId="2" borderId="15" xfId="0" applyFont="1" applyFill="1" applyBorder="1"/>
    <xf numFmtId="0" fontId="50" fillId="2" borderId="6" xfId="0" applyFont="1" applyFill="1" applyBorder="1"/>
    <xf numFmtId="0" fontId="56" fillId="2" borderId="0" xfId="0" applyFont="1" applyFill="1" applyBorder="1"/>
    <xf numFmtId="0" fontId="57" fillId="0" borderId="0" xfId="0" applyFont="1" applyBorder="1"/>
    <xf numFmtId="0" fontId="50" fillId="0" borderId="0" xfId="0" applyFont="1" applyBorder="1"/>
    <xf numFmtId="0" fontId="59" fillId="0" borderId="0" xfId="0" applyFont="1" applyBorder="1"/>
    <xf numFmtId="0" fontId="63" fillId="5" borderId="23" xfId="0" applyFont="1" applyFill="1" applyBorder="1"/>
    <xf numFmtId="0" fontId="63" fillId="5" borderId="23" xfId="0" applyFont="1" applyFill="1" applyBorder="1" applyAlignment="1">
      <alignment horizontal="center"/>
    </xf>
    <xf numFmtId="0" fontId="10" fillId="6" borderId="23" xfId="0" applyFont="1" applyFill="1" applyBorder="1" applyAlignment="1">
      <alignment horizontal="center" vertical="center" wrapText="1"/>
    </xf>
    <xf numFmtId="0" fontId="30" fillId="4" borderId="23" xfId="0" applyFont="1" applyFill="1" applyBorder="1" applyAlignment="1">
      <alignment horizontal="center"/>
    </xf>
    <xf numFmtId="0" fontId="30" fillId="4" borderId="23" xfId="0" applyFont="1" applyFill="1" applyBorder="1"/>
    <xf numFmtId="3" fontId="30" fillId="4" borderId="23" xfId="0" applyNumberFormat="1" applyFont="1" applyFill="1" applyBorder="1"/>
    <xf numFmtId="0" fontId="10" fillId="4" borderId="23" xfId="0" applyFont="1" applyFill="1" applyBorder="1"/>
    <xf numFmtId="0" fontId="31" fillId="4" borderId="23" xfId="0" applyFont="1" applyFill="1" applyBorder="1" applyAlignment="1">
      <alignment horizontal="center"/>
    </xf>
    <xf numFmtId="0" fontId="30" fillId="4" borderId="51" xfId="0" applyFont="1" applyFill="1" applyBorder="1"/>
    <xf numFmtId="0" fontId="30" fillId="4" borderId="39" xfId="0" applyFont="1" applyFill="1" applyBorder="1"/>
    <xf numFmtId="0" fontId="30" fillId="4" borderId="22" xfId="0" applyFont="1" applyFill="1" applyBorder="1"/>
    <xf numFmtId="0" fontId="30" fillId="4" borderId="52" xfId="0" applyFont="1" applyFill="1" applyBorder="1"/>
    <xf numFmtId="0" fontId="30" fillId="4" borderId="42" xfId="0" applyFont="1" applyFill="1" applyBorder="1"/>
    <xf numFmtId="0" fontId="10" fillId="6" borderId="22" xfId="0" applyFont="1" applyFill="1" applyBorder="1" applyAlignment="1">
      <alignment horizontal="center" vertical="center" wrapText="1"/>
    </xf>
    <xf numFmtId="166" fontId="66" fillId="4" borderId="51" xfId="0" applyNumberFormat="1" applyFont="1" applyFill="1" applyBorder="1"/>
    <xf numFmtId="0" fontId="0" fillId="14" borderId="0" xfId="0" applyFill="1" applyBorder="1"/>
    <xf numFmtId="0" fontId="0" fillId="15" borderId="0" xfId="0" applyFill="1" applyBorder="1"/>
    <xf numFmtId="0" fontId="28" fillId="14" borderId="28" xfId="0" applyFont="1" applyFill="1" applyBorder="1" applyAlignment="1">
      <alignment horizontal="center" vertical="center"/>
    </xf>
    <xf numFmtId="0" fontId="29" fillId="14" borderId="28" xfId="0" applyFont="1" applyFill="1" applyBorder="1" applyAlignment="1">
      <alignment horizontal="left" vertical="center"/>
    </xf>
    <xf numFmtId="0" fontId="29" fillId="14" borderId="28" xfId="0" applyFont="1" applyFill="1" applyBorder="1" applyAlignment="1">
      <alignment horizontal="center" vertical="center"/>
    </xf>
    <xf numFmtId="0" fontId="28" fillId="16" borderId="28" xfId="0" applyFont="1" applyFill="1" applyBorder="1" applyAlignment="1">
      <alignment horizontal="center" vertical="center"/>
    </xf>
    <xf numFmtId="0" fontId="29" fillId="16" borderId="28" xfId="0" applyFont="1" applyFill="1" applyBorder="1" applyAlignment="1">
      <alignment horizontal="left" vertical="center"/>
    </xf>
    <xf numFmtId="0" fontId="29" fillId="16" borderId="28" xfId="0" applyFont="1" applyFill="1" applyBorder="1" applyAlignment="1">
      <alignment horizontal="center" vertical="center"/>
    </xf>
    <xf numFmtId="165" fontId="31" fillId="10" borderId="0" xfId="0" applyNumberFormat="1" applyFont="1" applyFill="1" applyBorder="1"/>
    <xf numFmtId="0" fontId="31" fillId="10" borderId="0" xfId="0" applyFont="1" applyFill="1" applyBorder="1" applyAlignment="1">
      <alignment wrapText="1"/>
    </xf>
    <xf numFmtId="0" fontId="68" fillId="8" borderId="0" xfId="0" applyFont="1" applyFill="1" applyBorder="1" applyAlignment="1">
      <alignment horizontal="center" vertical="center"/>
    </xf>
    <xf numFmtId="0" fontId="33" fillId="11" borderId="41" xfId="0" applyFont="1" applyFill="1" applyAlignment="1">
      <alignment horizontal="left" vertical="center"/>
    </xf>
    <xf numFmtId="0" fontId="34" fillId="11" borderId="41" xfId="0" applyFont="1" applyFill="1" applyAlignment="1">
      <alignment horizontal="left" vertical="center" indent="1"/>
    </xf>
    <xf numFmtId="0" fontId="33" fillId="15" borderId="40" xfId="0" applyFont="1" applyFill="1" applyBorder="1" applyAlignment="1">
      <alignment horizontal="left" vertical="center"/>
    </xf>
    <xf numFmtId="0" fontId="36" fillId="15" borderId="0" xfId="0" applyFont="1" applyFill="1" applyBorder="1"/>
    <xf numFmtId="0" fontId="33" fillId="15" borderId="41" xfId="0" applyFont="1" applyFill="1" applyAlignment="1">
      <alignment horizontal="left" vertical="center"/>
    </xf>
    <xf numFmtId="0" fontId="33" fillId="18" borderId="40" xfId="0" applyFont="1" applyFill="1" applyBorder="1" applyAlignment="1">
      <alignment horizontal="left" vertical="center"/>
    </xf>
    <xf numFmtId="0" fontId="1" fillId="19" borderId="0" xfId="0" applyFont="1" applyFill="1" applyBorder="1"/>
    <xf numFmtId="0" fontId="64" fillId="20" borderId="53" xfId="0" applyFont="1" applyFill="1" applyBorder="1" applyAlignment="1">
      <alignment horizontal="center"/>
    </xf>
    <xf numFmtId="0" fontId="71" fillId="20" borderId="53" xfId="0" applyFont="1" applyFill="1" applyBorder="1" applyAlignment="1">
      <alignment horizontal="center" vertical="center"/>
    </xf>
    <xf numFmtId="0" fontId="66" fillId="20" borderId="53" xfId="0" applyFont="1" applyFill="1" applyBorder="1" applyAlignment="1">
      <alignment horizontal="left"/>
    </xf>
    <xf numFmtId="0" fontId="43" fillId="21" borderId="23" xfId="0" applyFont="1" applyFill="1" applyBorder="1" applyAlignment="1">
      <alignment horizontal="center" vertical="center" wrapText="1"/>
    </xf>
    <xf numFmtId="0" fontId="49" fillId="22" borderId="27" xfId="0" applyFont="1" applyFill="1" applyBorder="1" applyAlignment="1">
      <alignment horizontal="center" vertical="center"/>
    </xf>
    <xf numFmtId="0" fontId="10" fillId="14" borderId="28" xfId="0" applyFont="1" applyFill="1" applyBorder="1" applyAlignment="1">
      <alignment horizontal="left" vertical="center"/>
    </xf>
    <xf numFmtId="0" fontId="10" fillId="16" borderId="28" xfId="0" applyFont="1" applyFill="1" applyBorder="1" applyAlignment="1">
      <alignment horizontal="left" vertical="center"/>
    </xf>
    <xf numFmtId="0" fontId="73" fillId="14" borderId="28" xfId="0" applyFont="1" applyFill="1" applyBorder="1" applyAlignment="1">
      <alignment horizontal="center" vertical="center"/>
    </xf>
    <xf numFmtId="0" fontId="73" fillId="16" borderId="28" xfId="0" applyFont="1" applyFill="1" applyBorder="1" applyAlignment="1">
      <alignment horizontal="center" vertical="center"/>
    </xf>
    <xf numFmtId="0" fontId="74" fillId="14" borderId="28" xfId="0" applyFont="1" applyFill="1" applyBorder="1" applyAlignment="1">
      <alignment horizontal="center" vertical="center"/>
    </xf>
    <xf numFmtId="0" fontId="64" fillId="23" borderId="53" xfId="0" applyFont="1" applyFill="1" applyBorder="1" applyAlignment="1">
      <alignment horizontal="center"/>
    </xf>
    <xf numFmtId="0" fontId="64" fillId="23" borderId="23" xfId="0" applyFont="1" applyFill="1" applyBorder="1" applyAlignment="1">
      <alignment horizontal="center"/>
    </xf>
    <xf numFmtId="0" fontId="65" fillId="23" borderId="23" xfId="0" applyFont="1" applyFill="1" applyBorder="1" applyAlignment="1">
      <alignment horizontal="center"/>
    </xf>
    <xf numFmtId="0" fontId="67" fillId="23" borderId="23" xfId="0" applyFont="1" applyFill="1" applyBorder="1"/>
    <xf numFmtId="166" fontId="65" fillId="23" borderId="51" xfId="0" applyNumberFormat="1" applyFont="1" applyFill="1" applyBorder="1"/>
    <xf numFmtId="0" fontId="65" fillId="23" borderId="53" xfId="0" applyFont="1" applyFill="1" applyBorder="1" applyAlignment="1">
      <alignment horizontal="left"/>
    </xf>
    <xf numFmtId="1" fontId="66" fillId="4" borderId="39" xfId="0" applyNumberFormat="1" applyFont="1" applyFill="1" applyBorder="1"/>
    <xf numFmtId="1" fontId="66" fillId="4" borderId="23" xfId="0" applyNumberFormat="1" applyFont="1" applyFill="1" applyBorder="1"/>
    <xf numFmtId="1" fontId="65" fillId="23" borderId="39" xfId="0" applyNumberFormat="1" applyFont="1" applyFill="1" applyBorder="1"/>
    <xf numFmtId="1" fontId="65" fillId="23" borderId="23" xfId="0" applyNumberFormat="1" applyFont="1" applyFill="1" applyBorder="1"/>
    <xf numFmtId="0" fontId="47" fillId="4" borderId="41" xfId="0" applyFont="1" applyFill="1" applyAlignment="1">
      <alignment horizontal="left" vertical="center"/>
    </xf>
    <xf numFmtId="0" fontId="75" fillId="2" borderId="0" xfId="0" applyFont="1" applyFill="1" applyBorder="1" applyAlignment="1">
      <alignment horizontal="right" vertical="center"/>
    </xf>
    <xf numFmtId="0" fontId="0" fillId="0" borderId="41" xfId="0"/>
    <xf numFmtId="0" fontId="0" fillId="15" borderId="41" xfId="0" applyFill="1"/>
    <xf numFmtId="0" fontId="31" fillId="10" borderId="41" xfId="0" applyFont="1" applyFill="1"/>
    <xf numFmtId="0" fontId="59" fillId="0" borderId="41" xfId="0" applyFont="1"/>
    <xf numFmtId="0" fontId="36" fillId="0" borderId="41" xfId="0" applyFont="1"/>
    <xf numFmtId="0" fontId="66" fillId="26" borderId="0" xfId="0" applyFont="1" applyFill="1" applyBorder="1"/>
    <xf numFmtId="0" fontId="33" fillId="11" borderId="56" xfId="0" applyFont="1" applyFill="1" applyBorder="1" applyAlignment="1">
      <alignment horizontal="left" vertical="center"/>
    </xf>
    <xf numFmtId="0" fontId="66" fillId="26" borderId="41" xfId="0" applyFont="1" applyFill="1"/>
    <xf numFmtId="0" fontId="8" fillId="10" borderId="41" xfId="0" applyFont="1" applyFill="1"/>
    <xf numFmtId="0" fontId="2" fillId="26" borderId="40" xfId="0" applyFont="1" applyFill="1" applyBorder="1" applyAlignment="1">
      <alignment horizontal="center" vertical="center"/>
    </xf>
    <xf numFmtId="0" fontId="77" fillId="26" borderId="41" xfId="0" applyFont="1" applyFill="1"/>
    <xf numFmtId="0" fontId="35" fillId="12" borderId="62" xfId="0" applyFont="1" applyFill="1" applyBorder="1" applyAlignment="1">
      <alignment horizontal="center" vertical="center"/>
    </xf>
    <xf numFmtId="0" fontId="22" fillId="12" borderId="62" xfId="0" applyFont="1" applyFill="1" applyBorder="1" applyAlignment="1">
      <alignment horizontal="center" vertical="center"/>
    </xf>
    <xf numFmtId="0" fontId="1" fillId="27" borderId="0" xfId="0" applyFont="1" applyFill="1" applyBorder="1"/>
    <xf numFmtId="0" fontId="51" fillId="15" borderId="41" xfId="0" applyFont="1" applyFill="1"/>
    <xf numFmtId="0" fontId="50" fillId="27" borderId="49" xfId="0" applyFont="1" applyFill="1" applyBorder="1"/>
    <xf numFmtId="0" fontId="9" fillId="7" borderId="41" xfId="0" applyFont="1" applyFill="1" applyAlignment="1">
      <alignment horizontal="center" vertical="center"/>
    </xf>
    <xf numFmtId="0" fontId="47" fillId="7" borderId="41" xfId="0" applyFont="1" applyFill="1"/>
    <xf numFmtId="164" fontId="8" fillId="7" borderId="41" xfId="0" applyNumberFormat="1" applyFont="1" applyFill="1"/>
    <xf numFmtId="0" fontId="29" fillId="7" borderId="23" xfId="0" applyFont="1" applyFill="1" applyBorder="1" applyAlignment="1">
      <alignment horizontal="center"/>
    </xf>
    <xf numFmtId="0" fontId="74" fillId="7" borderId="23" xfId="0" applyFont="1" applyFill="1" applyBorder="1" applyAlignment="1">
      <alignment horizontal="center"/>
    </xf>
    <xf numFmtId="0" fontId="83" fillId="7" borderId="23" xfId="0" applyFont="1" applyFill="1" applyBorder="1" applyAlignment="1">
      <alignment horizontal="center"/>
    </xf>
    <xf numFmtId="0" fontId="74" fillId="7" borderId="23" xfId="0" applyFont="1" applyFill="1" applyBorder="1" applyAlignment="1">
      <alignment horizontal="left"/>
    </xf>
    <xf numFmtId="0" fontId="84" fillId="2" borderId="0" xfId="0" applyFont="1" applyFill="1" applyBorder="1"/>
    <xf numFmtId="0" fontId="8" fillId="5" borderId="68" xfId="0" applyFont="1" applyFill="1" applyBorder="1"/>
    <xf numFmtId="0" fontId="10" fillId="5" borderId="68" xfId="0" applyFont="1" applyFill="1" applyBorder="1" applyAlignment="1">
      <alignment horizontal="center" vertical="center"/>
    </xf>
    <xf numFmtId="0" fontId="11" fillId="5" borderId="69" xfId="0" applyFont="1" applyFill="1" applyBorder="1" applyAlignment="1">
      <alignment horizontal="center" vertical="center"/>
    </xf>
    <xf numFmtId="0" fontId="0" fillId="29" borderId="41" xfId="0" applyFill="1"/>
    <xf numFmtId="0" fontId="9" fillId="5" borderId="70" xfId="0" applyFont="1" applyFill="1" applyBorder="1" applyAlignment="1">
      <alignment horizontal="center" vertical="center"/>
    </xf>
    <xf numFmtId="0" fontId="12" fillId="5" borderId="70" xfId="0" applyFont="1" applyFill="1" applyBorder="1" applyAlignment="1">
      <alignment horizontal="center" vertical="center"/>
    </xf>
    <xf numFmtId="0" fontId="8" fillId="5" borderId="70" xfId="0" applyFont="1" applyFill="1" applyBorder="1"/>
    <xf numFmtId="0" fontId="15" fillId="5" borderId="70" xfId="0" applyFont="1" applyFill="1" applyBorder="1"/>
    <xf numFmtId="0" fontId="16" fillId="5" borderId="70" xfId="0" applyFont="1" applyFill="1" applyBorder="1" applyAlignment="1">
      <alignment horizontal="center"/>
    </xf>
    <xf numFmtId="0" fontId="10" fillId="5" borderId="71" xfId="0" applyFont="1" applyFill="1" applyBorder="1" applyAlignment="1">
      <alignment horizontal="center" vertical="center"/>
    </xf>
    <xf numFmtId="0" fontId="11" fillId="5" borderId="71" xfId="0" applyFont="1" applyFill="1" applyBorder="1" applyAlignment="1">
      <alignment horizontal="center" vertical="center"/>
    </xf>
    <xf numFmtId="0" fontId="15" fillId="5" borderId="71" xfId="0" applyFont="1" applyFill="1" applyBorder="1"/>
    <xf numFmtId="0" fontId="8" fillId="7" borderId="41" xfId="0" applyFont="1" applyFill="1"/>
    <xf numFmtId="0" fontId="10" fillId="7" borderId="41" xfId="0" applyFont="1" applyFill="1" applyAlignment="1">
      <alignment horizontal="center" vertical="center"/>
    </xf>
    <xf numFmtId="0" fontId="19" fillId="7" borderId="41" xfId="0" applyFont="1" applyFill="1" applyAlignment="1">
      <alignment horizontal="center" vertical="center"/>
    </xf>
    <xf numFmtId="164" fontId="10" fillId="7" borderId="41" xfId="0" applyNumberFormat="1" applyFont="1" applyFill="1" applyAlignment="1">
      <alignment horizontal="center" vertical="center"/>
    </xf>
    <xf numFmtId="0" fontId="5" fillId="7" borderId="41" xfId="0" applyFont="1" applyFill="1" applyAlignment="1">
      <alignment horizontal="center" vertical="center"/>
    </xf>
    <xf numFmtId="0" fontId="15" fillId="7" borderId="41" xfId="0" applyFont="1" applyFill="1"/>
    <xf numFmtId="0" fontId="5" fillId="7" borderId="41" xfId="0" applyFont="1" applyFill="1" applyAlignment="1">
      <alignment horizontal="left" vertical="center"/>
    </xf>
    <xf numFmtId="0" fontId="21" fillId="7" borderId="41" xfId="0" applyFont="1" applyFill="1" applyAlignment="1">
      <alignment horizontal="left" vertical="center"/>
    </xf>
    <xf numFmtId="0" fontId="9" fillId="7" borderId="68" xfId="0" applyFont="1" applyFill="1" applyBorder="1" applyAlignment="1">
      <alignment horizontal="center" vertical="center"/>
    </xf>
    <xf numFmtId="0" fontId="8" fillId="7" borderId="68" xfId="0" applyFont="1" applyFill="1" applyBorder="1"/>
    <xf numFmtId="0" fontId="10" fillId="7" borderId="68" xfId="0" applyFont="1" applyFill="1" applyBorder="1" applyAlignment="1">
      <alignment horizontal="center" vertical="center"/>
    </xf>
    <xf numFmtId="0" fontId="19" fillId="7" borderId="68" xfId="0" applyFont="1" applyFill="1" applyBorder="1" applyAlignment="1">
      <alignment horizontal="center" vertical="center"/>
    </xf>
    <xf numFmtId="164" fontId="10" fillId="7" borderId="68" xfId="0" applyNumberFormat="1" applyFont="1" applyFill="1" applyBorder="1" applyAlignment="1">
      <alignment horizontal="center" vertical="center"/>
    </xf>
    <xf numFmtId="164" fontId="8" fillId="7" borderId="68" xfId="0" applyNumberFormat="1" applyFont="1" applyFill="1" applyBorder="1"/>
    <xf numFmtId="0" fontId="9" fillId="7" borderId="70" xfId="0" applyFont="1" applyFill="1" applyBorder="1" applyAlignment="1">
      <alignment horizontal="center" vertical="center"/>
    </xf>
    <xf numFmtId="0" fontId="5" fillId="7" borderId="70" xfId="0" applyFont="1" applyFill="1" applyBorder="1" applyAlignment="1">
      <alignment horizontal="center" vertical="center"/>
    </xf>
    <xf numFmtId="0" fontId="15" fillId="7" borderId="70" xfId="0" applyFont="1" applyFill="1" applyBorder="1"/>
    <xf numFmtId="0" fontId="5" fillId="7" borderId="70" xfId="0" applyFont="1" applyFill="1" applyBorder="1" applyAlignment="1">
      <alignment horizontal="left" vertical="center"/>
    </xf>
    <xf numFmtId="164" fontId="7" fillId="7" borderId="41" xfId="0" applyNumberFormat="1" applyFont="1" applyFill="1"/>
    <xf numFmtId="0" fontId="20" fillId="7" borderId="69" xfId="0" applyFont="1" applyFill="1" applyBorder="1" applyAlignment="1">
      <alignment horizontal="center" vertical="center"/>
    </xf>
    <xf numFmtId="164" fontId="8" fillId="7" borderId="69" xfId="0" applyNumberFormat="1" applyFont="1" applyFill="1" applyBorder="1"/>
    <xf numFmtId="0" fontId="8" fillId="7" borderId="69" xfId="0" applyFont="1" applyFill="1" applyBorder="1"/>
    <xf numFmtId="164" fontId="8" fillId="7" borderId="71" xfId="0" applyNumberFormat="1" applyFont="1" applyFill="1" applyBorder="1"/>
    <xf numFmtId="0" fontId="47" fillId="7" borderId="71" xfId="0" applyFont="1" applyFill="1" applyBorder="1"/>
    <xf numFmtId="164" fontId="15" fillId="7" borderId="71" xfId="0" applyNumberFormat="1" applyFont="1" applyFill="1" applyBorder="1"/>
    <xf numFmtId="164" fontId="7" fillId="7" borderId="71" xfId="0" applyNumberFormat="1" applyFont="1" applyFill="1" applyBorder="1"/>
    <xf numFmtId="164" fontId="15" fillId="7" borderId="71" xfId="0" applyNumberFormat="1" applyFont="1" applyFill="1" applyBorder="1" applyAlignment="1">
      <alignment horizontal="center"/>
    </xf>
    <xf numFmtId="0" fontId="23" fillId="4" borderId="68" xfId="0" applyFont="1" applyFill="1" applyBorder="1" applyAlignment="1">
      <alignment horizontal="center" vertical="center"/>
    </xf>
    <xf numFmtId="0" fontId="8" fillId="4" borderId="68" xfId="0" applyFont="1" applyFill="1" applyBorder="1"/>
    <xf numFmtId="0" fontId="10" fillId="4" borderId="68" xfId="0" applyFont="1" applyFill="1" applyBorder="1" applyAlignment="1">
      <alignment horizontal="center" vertical="center"/>
    </xf>
    <xf numFmtId="0" fontId="23" fillId="4" borderId="70" xfId="0" applyFont="1" applyFill="1" applyBorder="1" applyAlignment="1">
      <alignment horizontal="center" vertical="center"/>
    </xf>
    <xf numFmtId="0" fontId="9" fillId="4" borderId="70" xfId="0" applyFont="1" applyFill="1" applyBorder="1" applyAlignment="1">
      <alignment horizontal="center" vertical="center"/>
    </xf>
    <xf numFmtId="0" fontId="12" fillId="4" borderId="70" xfId="0" applyFont="1" applyFill="1" applyBorder="1" applyAlignment="1">
      <alignment horizontal="center" vertical="center"/>
    </xf>
    <xf numFmtId="0" fontId="8" fillId="4" borderId="70" xfId="0" applyFont="1" applyFill="1" applyBorder="1"/>
    <xf numFmtId="0" fontId="26" fillId="4" borderId="70" xfId="0" applyFont="1" applyFill="1" applyBorder="1" applyAlignment="1">
      <alignment horizontal="center"/>
    </xf>
    <xf numFmtId="0" fontId="1" fillId="4" borderId="71" xfId="0" applyFont="1" applyFill="1" applyBorder="1"/>
    <xf numFmtId="0" fontId="14" fillId="4" borderId="71" xfId="0" applyFont="1" applyFill="1" applyBorder="1"/>
    <xf numFmtId="0" fontId="8" fillId="5" borderId="41" xfId="0" applyFont="1" applyFill="1"/>
    <xf numFmtId="0" fontId="1" fillId="5" borderId="41" xfId="0" applyFont="1" applyFill="1"/>
    <xf numFmtId="0" fontId="18" fillId="5" borderId="72" xfId="0" applyFont="1" applyFill="1" applyBorder="1"/>
    <xf numFmtId="0" fontId="18" fillId="5" borderId="41" xfId="0" applyFont="1" applyFill="1"/>
    <xf numFmtId="0" fontId="15" fillId="7" borderId="69" xfId="0" applyFont="1" applyFill="1" applyBorder="1"/>
    <xf numFmtId="164" fontId="15" fillId="7" borderId="69" xfId="0" applyNumberFormat="1" applyFont="1" applyFill="1" applyBorder="1"/>
    <xf numFmtId="0" fontId="8" fillId="4" borderId="69" xfId="0" applyFont="1" applyFill="1" applyBorder="1"/>
    <xf numFmtId="0" fontId="36" fillId="15" borderId="41" xfId="0" applyFont="1" applyFill="1"/>
    <xf numFmtId="0" fontId="36" fillId="29" borderId="41" xfId="0" applyFont="1" applyFill="1"/>
    <xf numFmtId="0" fontId="33" fillId="11" borderId="70" xfId="0" applyFont="1" applyFill="1" applyBorder="1" applyAlignment="1">
      <alignment horizontal="left" vertical="center"/>
    </xf>
    <xf numFmtId="0" fontId="33" fillId="11" borderId="68" xfId="0" applyFont="1" applyFill="1" applyBorder="1" applyAlignment="1">
      <alignment horizontal="left" vertical="center"/>
    </xf>
    <xf numFmtId="0" fontId="33" fillId="11" borderId="69" xfId="0" applyFont="1" applyFill="1" applyBorder="1" applyAlignment="1">
      <alignment horizontal="left" vertical="center"/>
    </xf>
    <xf numFmtId="0" fontId="33" fillId="11" borderId="71" xfId="0" applyFont="1" applyFill="1" applyBorder="1" applyAlignment="1">
      <alignment horizontal="left" vertical="center"/>
    </xf>
    <xf numFmtId="0" fontId="33" fillId="11" borderId="73" xfId="0" applyFont="1" applyFill="1" applyBorder="1" applyAlignment="1">
      <alignment horizontal="left" vertical="center"/>
    </xf>
    <xf numFmtId="0" fontId="0" fillId="30" borderId="74" xfId="0" applyFill="1" applyBorder="1" applyAlignment="1">
      <alignment horizontal="center" vertical="center"/>
    </xf>
    <xf numFmtId="0" fontId="0" fillId="15" borderId="68" xfId="0" applyFill="1" applyBorder="1"/>
    <xf numFmtId="0" fontId="0" fillId="15" borderId="70" xfId="0" applyFill="1" applyBorder="1"/>
    <xf numFmtId="0" fontId="0" fillId="14" borderId="70" xfId="0" applyFill="1" applyBorder="1"/>
    <xf numFmtId="0" fontId="0" fillId="15" borderId="69" xfId="0" applyFill="1" applyBorder="1"/>
    <xf numFmtId="0" fontId="0" fillId="15" borderId="71" xfId="0" applyFill="1" applyBorder="1"/>
    <xf numFmtId="0" fontId="0" fillId="14" borderId="75" xfId="0" applyFill="1" applyBorder="1"/>
    <xf numFmtId="0" fontId="0" fillId="14" borderId="41" xfId="0" applyFill="1"/>
    <xf numFmtId="0" fontId="0" fillId="31" borderId="41" xfId="0" applyFill="1"/>
    <xf numFmtId="0" fontId="1" fillId="32" borderId="0" xfId="0" applyFont="1" applyFill="1" applyBorder="1"/>
    <xf numFmtId="0" fontId="0" fillId="31" borderId="0" xfId="0" applyFill="1" applyBorder="1"/>
    <xf numFmtId="0" fontId="64" fillId="13" borderId="23" xfId="0" applyFont="1" applyFill="1" applyBorder="1" applyAlignment="1" applyProtection="1">
      <alignment horizontal="center"/>
      <protection locked="0"/>
    </xf>
    <xf numFmtId="0" fontId="64" fillId="13" borderId="51" xfId="0" applyFont="1" applyFill="1" applyBorder="1" applyAlignment="1" applyProtection="1">
      <alignment horizontal="center"/>
      <protection locked="0"/>
    </xf>
    <xf numFmtId="0" fontId="65" fillId="17" borderId="53" xfId="0" applyFont="1" applyFill="1" applyBorder="1" applyAlignment="1" applyProtection="1">
      <alignment horizontal="center"/>
      <protection locked="0"/>
    </xf>
    <xf numFmtId="0" fontId="72" fillId="15" borderId="53" xfId="0" applyFont="1" applyFill="1" applyBorder="1" applyAlignment="1" applyProtection="1">
      <alignment horizontal="center" vertical="center"/>
      <protection locked="0"/>
    </xf>
    <xf numFmtId="0" fontId="65" fillId="24" borderId="53" xfId="0" applyFont="1" applyFill="1" applyBorder="1" applyAlignment="1" applyProtection="1">
      <alignment horizontal="center" vertical="center"/>
      <protection locked="0"/>
    </xf>
    <xf numFmtId="0" fontId="33" fillId="11" borderId="40" xfId="0" applyFont="1" applyFill="1" applyBorder="1" applyAlignment="1" applyProtection="1">
      <alignment horizontal="left" vertical="center"/>
      <protection locked="0"/>
    </xf>
    <xf numFmtId="0" fontId="85" fillId="15" borderId="64"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protection locked="0"/>
    </xf>
    <xf numFmtId="0" fontId="74" fillId="25" borderId="41" xfId="0" applyFont="1" applyFill="1" applyAlignment="1">
      <alignment horizontal="left" vertical="center" indent="1"/>
    </xf>
    <xf numFmtId="0" fontId="0" fillId="0" borderId="0" xfId="0" applyBorder="1"/>
    <xf numFmtId="0" fontId="41" fillId="4" borderId="41" xfId="0" applyFont="1" applyFill="1" applyAlignment="1">
      <alignment horizontal="left" vertical="center"/>
    </xf>
    <xf numFmtId="0" fontId="47" fillId="4" borderId="41" xfId="0" applyFont="1" applyFill="1" applyAlignment="1">
      <alignment horizontal="left" vertical="center"/>
    </xf>
    <xf numFmtId="0" fontId="74" fillId="25" borderId="54" xfId="0" applyFont="1" applyFill="1" applyBorder="1" applyAlignment="1">
      <alignment horizontal="left" vertical="center" indent="1"/>
    </xf>
    <xf numFmtId="0" fontId="0" fillId="0" borderId="54" xfId="0" applyBorder="1"/>
    <xf numFmtId="0" fontId="49" fillId="25" borderId="54" xfId="0" applyFont="1" applyFill="1" applyBorder="1" applyAlignment="1">
      <alignment horizontal="right" vertical="center" indent="1"/>
    </xf>
    <xf numFmtId="0" fontId="2" fillId="3" borderId="25" xfId="0" applyFont="1" applyFill="1" applyBorder="1" applyAlignment="1">
      <alignment horizontal="center" vertical="center"/>
    </xf>
    <xf numFmtId="0" fontId="0" fillId="0" borderId="29" xfId="0" applyBorder="1"/>
    <xf numFmtId="0" fontId="0" fillId="0" borderId="31" xfId="0" applyBorder="1"/>
    <xf numFmtId="0" fontId="49" fillId="25" borderId="41" xfId="0" applyFont="1" applyFill="1" applyAlignment="1">
      <alignment horizontal="right" vertical="center" indent="1"/>
    </xf>
    <xf numFmtId="0" fontId="49" fillId="25" borderId="55" xfId="0" applyFont="1" applyFill="1" applyBorder="1" applyAlignment="1">
      <alignment horizontal="right" vertical="center" indent="1"/>
    </xf>
    <xf numFmtId="0" fontId="0" fillId="0" borderId="55" xfId="0" applyBorder="1"/>
    <xf numFmtId="0" fontId="76" fillId="15" borderId="41" xfId="0" applyFont="1" applyFill="1" applyAlignment="1">
      <alignment horizontal="left" vertical="center"/>
    </xf>
    <xf numFmtId="0" fontId="74" fillId="25" borderId="55" xfId="0" applyFont="1" applyFill="1" applyBorder="1" applyAlignment="1">
      <alignment horizontal="left" vertical="center" indent="1"/>
    </xf>
    <xf numFmtId="0" fontId="61" fillId="2" borderId="41" xfId="0" applyFont="1" applyFill="1"/>
    <xf numFmtId="0" fontId="61" fillId="4" borderId="41" xfId="0" applyFont="1" applyFill="1"/>
    <xf numFmtId="0" fontId="39" fillId="2" borderId="46" xfId="0" applyFont="1" applyFill="1" applyBorder="1"/>
    <xf numFmtId="0" fontId="0" fillId="0" borderId="46" xfId="0" applyBorder="1"/>
    <xf numFmtId="0" fontId="22" fillId="2" borderId="8" xfId="0" applyFont="1" applyFill="1" applyBorder="1" applyAlignment="1">
      <alignment horizontal="center"/>
    </xf>
    <xf numFmtId="0" fontId="0" fillId="0" borderId="11" xfId="0" applyBorder="1"/>
    <xf numFmtId="0" fontId="0" fillId="0" borderId="12" xfId="0" applyBorder="1"/>
    <xf numFmtId="0" fontId="0" fillId="0" borderId="3" xfId="0" applyBorder="1"/>
    <xf numFmtId="0" fontId="0" fillId="0" borderId="6" xfId="0" applyBorder="1"/>
    <xf numFmtId="0" fontId="29" fillId="2" borderId="41" xfId="0" applyFont="1" applyFill="1" applyAlignment="1">
      <alignment vertical="center" wrapText="1"/>
    </xf>
    <xf numFmtId="0" fontId="38" fillId="2" borderId="9" xfId="0" applyFont="1" applyFill="1" applyBorder="1" applyAlignment="1">
      <alignment horizontal="center"/>
    </xf>
    <xf numFmtId="0" fontId="41" fillId="2" borderId="41" xfId="0" applyFont="1" applyFill="1" applyAlignment="1">
      <alignment horizontal="center" vertical="center"/>
    </xf>
    <xf numFmtId="0" fontId="1" fillId="2" borderId="41" xfId="0" applyFont="1" applyFill="1"/>
    <xf numFmtId="0" fontId="37" fillId="2" borderId="41" xfId="0" applyFont="1" applyFill="1" applyAlignment="1">
      <alignment horizontal="center"/>
    </xf>
    <xf numFmtId="0" fontId="10" fillId="2" borderId="41" xfId="0" applyFont="1" applyFill="1" applyAlignment="1">
      <alignment horizontal="center"/>
    </xf>
    <xf numFmtId="0" fontId="6" fillId="2" borderId="41" xfId="0" applyFont="1" applyFill="1"/>
    <xf numFmtId="0" fontId="1" fillId="2" borderId="10" xfId="0" applyFont="1" applyFill="1" applyBorder="1"/>
    <xf numFmtId="0" fontId="0" fillId="0" borderId="13" xfId="0" applyBorder="1"/>
    <xf numFmtId="0" fontId="0" fillId="0" borderId="7" xfId="0" applyBorder="1"/>
    <xf numFmtId="0" fontId="0" fillId="0" borderId="14" xfId="0" applyBorder="1"/>
    <xf numFmtId="0" fontId="22" fillId="4" borderId="8" xfId="0" applyFont="1" applyFill="1" applyBorder="1" applyAlignment="1">
      <alignment horizontal="center"/>
    </xf>
    <xf numFmtId="0" fontId="1" fillId="2" borderId="49" xfId="0" applyFont="1" applyFill="1" applyBorder="1"/>
    <xf numFmtId="0" fontId="0" fillId="0" borderId="49" xfId="0" applyBorder="1"/>
    <xf numFmtId="0" fontId="42" fillId="2" borderId="41" xfId="0" applyFont="1" applyFill="1" applyAlignment="1">
      <alignment vertical="center"/>
    </xf>
    <xf numFmtId="0" fontId="3" fillId="2" borderId="41" xfId="0" applyFont="1" applyFill="1"/>
    <xf numFmtId="0" fontId="41" fillId="2" borderId="41" xfId="0" applyFont="1" applyFill="1"/>
    <xf numFmtId="0" fontId="46" fillId="2" borderId="41" xfId="0" applyFont="1" applyFill="1" applyAlignment="1">
      <alignment horizontal="center" vertical="center"/>
    </xf>
    <xf numFmtId="0" fontId="2" fillId="3" borderId="4" xfId="0" applyFont="1" applyFill="1" applyBorder="1" applyAlignment="1">
      <alignment horizontal="center" vertical="center"/>
    </xf>
    <xf numFmtId="0" fontId="0" fillId="0" borderId="30" xfId="0" applyBorder="1"/>
    <xf numFmtId="0" fontId="0" fillId="0" borderId="32" xfId="0" applyBorder="1"/>
    <xf numFmtId="0" fontId="0" fillId="0" borderId="33" xfId="0" applyBorder="1"/>
    <xf numFmtId="0" fontId="0" fillId="0" borderId="34" xfId="0" applyBorder="1"/>
    <xf numFmtId="0" fontId="0" fillId="0" borderId="35" xfId="0" applyBorder="1"/>
    <xf numFmtId="0" fontId="40" fillId="2" borderId="41" xfId="0" applyFont="1" applyFill="1"/>
    <xf numFmtId="0" fontId="5" fillId="2" borderId="41" xfId="0" applyFont="1" applyFill="1"/>
    <xf numFmtId="0" fontId="45" fillId="4" borderId="22" xfId="0" applyFont="1" applyFill="1" applyBorder="1" applyAlignment="1">
      <alignment horizontal="center" vertical="top"/>
    </xf>
    <xf numFmtId="0" fontId="0" fillId="0" borderId="16" xfId="0" applyBorder="1"/>
    <xf numFmtId="0" fontId="0" fillId="0" borderId="17" xfId="0" applyBorder="1"/>
    <xf numFmtId="0" fontId="0" fillId="0" borderId="19" xfId="0" applyBorder="1"/>
    <xf numFmtId="0" fontId="0" fillId="0" borderId="18" xfId="0" applyBorder="1"/>
    <xf numFmtId="0" fontId="58" fillId="2" borderId="41" xfId="0" applyFont="1" applyFill="1" applyAlignment="1">
      <alignment vertical="center" wrapText="1"/>
    </xf>
    <xf numFmtId="167" fontId="3" fillId="2" borderId="41" xfId="0" applyNumberFormat="1" applyFont="1" applyFill="1" applyAlignment="1">
      <alignment horizontal="left"/>
    </xf>
    <xf numFmtId="0" fontId="39" fillId="2" borderId="46" xfId="0" applyFont="1" applyFill="1" applyBorder="1" applyAlignment="1">
      <alignment vertical="center"/>
    </xf>
    <xf numFmtId="0" fontId="38" fillId="2" borderId="41" xfId="0" applyFont="1" applyFill="1" applyAlignment="1">
      <alignment horizontal="center" vertical="center"/>
    </xf>
    <xf numFmtId="0" fontId="3" fillId="2" borderId="41" xfId="0" applyFont="1" applyFill="1" applyAlignment="1">
      <alignment horizontal="left"/>
    </xf>
    <xf numFmtId="0" fontId="55" fillId="2" borderId="23" xfId="0" applyFont="1" applyFill="1" applyBorder="1" applyAlignment="1">
      <alignment horizontal="center"/>
    </xf>
    <xf numFmtId="0" fontId="51" fillId="0" borderId="0" xfId="0" applyFont="1" applyBorder="1"/>
    <xf numFmtId="0" fontId="0" fillId="0" borderId="20" xfId="0" applyBorder="1"/>
    <xf numFmtId="0" fontId="0" fillId="0" borderId="15" xfId="0" applyBorder="1"/>
    <xf numFmtId="0" fontId="0" fillId="0" borderId="21" xfId="0" applyBorder="1"/>
    <xf numFmtId="0" fontId="62" fillId="2" borderId="23" xfId="0" applyFont="1" applyFill="1" applyBorder="1" applyAlignment="1">
      <alignment vertical="top" wrapText="1"/>
    </xf>
    <xf numFmtId="0" fontId="54" fillId="2" borderId="41" xfId="0" applyFont="1" applyFill="1" applyAlignment="1">
      <alignment horizontal="left" vertical="center" wrapText="1"/>
    </xf>
    <xf numFmtId="0" fontId="60" fillId="2" borderId="41" xfId="0" applyFont="1" applyFill="1" applyAlignment="1">
      <alignment vertical="center" wrapText="1"/>
    </xf>
    <xf numFmtId="0" fontId="52" fillId="3" borderId="4" xfId="0" applyFont="1" applyFill="1" applyBorder="1" applyAlignment="1">
      <alignment horizontal="center" vertical="center"/>
    </xf>
    <xf numFmtId="0" fontId="53" fillId="2" borderId="41" xfId="0" applyFont="1" applyFill="1"/>
    <xf numFmtId="0" fontId="44" fillId="5" borderId="41" xfId="0" applyFont="1" applyFill="1" applyAlignment="1">
      <alignment horizontal="left" vertical="center"/>
    </xf>
    <xf numFmtId="0" fontId="41" fillId="5" borderId="41" xfId="0" applyFont="1" applyFill="1" applyAlignment="1">
      <alignment horizontal="left" vertical="center"/>
    </xf>
    <xf numFmtId="0" fontId="0" fillId="0" borderId="36" xfId="0" applyBorder="1"/>
    <xf numFmtId="0" fontId="0" fillId="0" borderId="37" xfId="0" applyBorder="1"/>
    <xf numFmtId="0" fontId="10" fillId="7" borderId="23" xfId="0" applyFont="1" applyFill="1" applyBorder="1" applyAlignment="1">
      <alignment horizontal="left" vertical="center"/>
    </xf>
    <xf numFmtId="0" fontId="0" fillId="0" borderId="38" xfId="0" applyBorder="1"/>
    <xf numFmtId="0" fontId="0" fillId="0" borderId="39" xfId="0" applyBorder="1"/>
    <xf numFmtId="0" fontId="10" fillId="7" borderId="41" xfId="0" applyFont="1" applyFill="1" applyAlignment="1">
      <alignment horizontal="center"/>
    </xf>
    <xf numFmtId="0" fontId="10" fillId="6" borderId="23" xfId="0" applyFont="1" applyFill="1" applyBorder="1" applyAlignment="1">
      <alignment horizontal="center"/>
    </xf>
    <xf numFmtId="0" fontId="41" fillId="7" borderId="41" xfId="0" applyFont="1" applyFill="1" applyAlignment="1">
      <alignment horizontal="left" vertical="center"/>
    </xf>
    <xf numFmtId="0" fontId="0" fillId="0" borderId="41" xfId="0"/>
    <xf numFmtId="0" fontId="3" fillId="7" borderId="41" xfId="0" applyFont="1" applyFill="1" applyAlignment="1">
      <alignment horizontal="left" vertical="center"/>
    </xf>
    <xf numFmtId="0" fontId="49" fillId="6" borderId="23" xfId="0" applyFont="1" applyFill="1" applyBorder="1" applyAlignment="1">
      <alignment horizontal="center"/>
    </xf>
    <xf numFmtId="0" fontId="49" fillId="7" borderId="23" xfId="0" applyFont="1" applyFill="1" applyBorder="1" applyAlignment="1">
      <alignment horizontal="left" vertical="center"/>
    </xf>
    <xf numFmtId="0" fontId="47" fillId="7" borderId="41" xfId="0" applyFont="1" applyFill="1" applyAlignment="1">
      <alignment horizontal="left"/>
    </xf>
    <xf numFmtId="0" fontId="2" fillId="26" borderId="41" xfId="0" applyFont="1" applyFill="1" applyAlignment="1">
      <alignment horizontal="center" vertical="center"/>
    </xf>
    <xf numFmtId="0" fontId="36" fillId="0" borderId="0" xfId="0" applyFont="1" applyBorder="1"/>
    <xf numFmtId="0" fontId="79" fillId="15" borderId="62" xfId="0" applyFont="1" applyFill="1" applyBorder="1" applyAlignment="1" applyProtection="1">
      <alignment horizontal="center"/>
      <protection locked="0"/>
    </xf>
    <xf numFmtId="0" fontId="0" fillId="0" borderId="57" xfId="0" applyBorder="1" applyProtection="1">
      <protection locked="0"/>
    </xf>
    <xf numFmtId="0" fontId="0" fillId="0" borderId="61" xfId="0" applyBorder="1" applyProtection="1">
      <protection locked="0"/>
    </xf>
    <xf numFmtId="0" fontId="67" fillId="15" borderId="62" xfId="0" applyFont="1" applyFill="1" applyBorder="1" applyAlignment="1" applyProtection="1">
      <alignment horizontal="center" vertical="center"/>
      <protection locked="0"/>
    </xf>
    <xf numFmtId="0" fontId="67" fillId="15" borderId="62" xfId="0" applyFont="1" applyFill="1" applyBorder="1" applyAlignment="1" applyProtection="1">
      <alignment horizontal="left" vertical="center"/>
      <protection locked="0"/>
    </xf>
    <xf numFmtId="0" fontId="2" fillId="26" borderId="63" xfId="0" applyFont="1" applyFill="1" applyBorder="1" applyAlignment="1">
      <alignment horizontal="center" vertical="center"/>
    </xf>
    <xf numFmtId="0" fontId="0" fillId="0" borderId="66" xfId="0" applyBorder="1"/>
    <xf numFmtId="0" fontId="0" fillId="0" borderId="67" xfId="0" applyBorder="1"/>
    <xf numFmtId="0" fontId="29" fillId="12" borderId="62" xfId="0" applyFont="1" applyFill="1" applyBorder="1" applyAlignment="1">
      <alignment horizontal="left" vertical="center" indent="1"/>
    </xf>
    <xf numFmtId="0" fontId="0" fillId="0" borderId="57" xfId="0" applyBorder="1"/>
    <xf numFmtId="0" fontId="0" fillId="0" borderId="61" xfId="0" applyBorder="1"/>
    <xf numFmtId="0" fontId="86" fillId="15" borderId="62" xfId="0" applyFont="1" applyFill="1" applyBorder="1" applyAlignment="1">
      <alignment horizontal="left" vertical="center" indent="1"/>
    </xf>
    <xf numFmtId="0" fontId="87" fillId="28" borderId="41" xfId="0" applyFont="1" applyFill="1" applyAlignment="1">
      <alignment horizontal="left" vertical="center"/>
    </xf>
    <xf numFmtId="0" fontId="61" fillId="12" borderId="59" xfId="0" applyFont="1" applyFill="1" applyBorder="1" applyAlignment="1">
      <alignment vertical="center"/>
    </xf>
    <xf numFmtId="0" fontId="61" fillId="12" borderId="58" xfId="0" applyFont="1" applyFill="1" applyBorder="1" applyAlignment="1">
      <alignment vertical="center"/>
    </xf>
    <xf numFmtId="0" fontId="0" fillId="0" borderId="56" xfId="0" applyBorder="1"/>
    <xf numFmtId="0" fontId="78" fillId="26" borderId="56" xfId="0" applyFont="1" applyFill="1" applyBorder="1" applyAlignment="1">
      <alignment horizontal="left" vertical="center"/>
    </xf>
    <xf numFmtId="0" fontId="80" fillId="11" borderId="62" xfId="0" applyFont="1" applyFill="1" applyBorder="1" applyAlignment="1">
      <alignment horizontal="left" vertical="center"/>
    </xf>
    <xf numFmtId="0" fontId="70" fillId="12" borderId="65" xfId="0" applyFont="1" applyFill="1" applyBorder="1" applyAlignment="1">
      <alignment horizontal="left" vertical="center"/>
    </xf>
    <xf numFmtId="0" fontId="0" fillId="0" borderId="60" xfId="0" applyBorder="1"/>
    <xf numFmtId="0" fontId="78" fillId="26" borderId="41" xfId="0" applyFont="1" applyFill="1" applyAlignment="1">
      <alignment horizontal="left" vertical="center"/>
    </xf>
    <xf numFmtId="0" fontId="36" fillId="0" borderId="41" xfId="0" applyFont="1"/>
    <xf numFmtId="0" fontId="70" fillId="12" borderId="62" xfId="0" applyFont="1" applyFill="1" applyBorder="1" applyAlignment="1">
      <alignment horizontal="left" vertical="center"/>
    </xf>
    <xf numFmtId="0" fontId="80" fillId="12" borderId="65" xfId="0" applyFont="1" applyFill="1" applyBorder="1" applyAlignment="1">
      <alignment horizontal="left" vertical="center" indent="1"/>
    </xf>
    <xf numFmtId="0" fontId="82" fillId="12" borderId="60" xfId="0" applyFont="1" applyFill="1" applyBorder="1" applyAlignment="1">
      <alignment horizontal="left" vertical="center"/>
    </xf>
    <xf numFmtId="0" fontId="82" fillId="12" borderId="61" xfId="0" applyFont="1" applyFill="1" applyBorder="1" applyAlignment="1">
      <alignment horizontal="left" vertical="center"/>
    </xf>
    <xf numFmtId="0" fontId="3" fillId="12" borderId="65" xfId="0" applyFont="1" applyFill="1" applyBorder="1" applyAlignment="1">
      <alignment horizontal="left" vertical="center" indent="1"/>
    </xf>
    <xf numFmtId="0" fontId="81" fillId="12" borderId="62" xfId="0" applyFont="1" applyFill="1" applyBorder="1" applyAlignment="1">
      <alignment horizontal="left" vertical="center" indent="1"/>
    </xf>
    <xf numFmtId="0" fontId="3" fillId="11" borderId="62" xfId="0" applyFont="1" applyFill="1" applyBorder="1" applyAlignment="1">
      <alignment horizontal="left" vertical="center"/>
    </xf>
    <xf numFmtId="0" fontId="70" fillId="11" borderId="41" xfId="0" applyFont="1" applyFill="1" applyAlignment="1">
      <alignment horizontal="left" vertical="center" wrapText="1"/>
    </xf>
    <xf numFmtId="0" fontId="34" fillId="11" borderId="41" xfId="0" applyFont="1" applyFill="1" applyAlignment="1">
      <alignment horizontal="left" vertical="center" indent="1"/>
    </xf>
    <xf numFmtId="0" fontId="81" fillId="11" borderId="62" xfId="0" applyFont="1" applyFill="1" applyBorder="1" applyAlignment="1">
      <alignment horizontal="left" vertical="center"/>
    </xf>
    <xf numFmtId="0" fontId="69" fillId="14" borderId="41" xfId="0" applyFont="1" applyFill="1" applyAlignment="1">
      <alignment horizontal="left" vertical="center"/>
    </xf>
    <xf numFmtId="0" fontId="0" fillId="15" borderId="0" xfId="0" applyFill="1" applyBorder="1"/>
    <xf numFmtId="0" fontId="70" fillId="14" borderId="41" xfId="0" applyFont="1" applyFill="1" applyAlignment="1">
      <alignment horizontal="left" vertical="center"/>
    </xf>
    <xf numFmtId="0" fontId="27" fillId="14" borderId="41" xfId="0" applyFont="1" applyFill="1" applyAlignment="1">
      <alignment horizontal="left" vertical="center"/>
    </xf>
    <xf numFmtId="0" fontId="31" fillId="2" borderId="41" xfId="0" applyFont="1" applyFill="1" applyAlignment="1">
      <alignment horizontal="left" vertical="top"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DC737"/>
      <rgbColor rgb="FFFF00FF"/>
      <rgbColor rgb="FF00FFFF"/>
      <rgbColor rgb="FF800000"/>
      <rgbColor rgb="FF058D36"/>
      <rgbColor rgb="FF001809"/>
      <rgbColor rgb="FF808000"/>
      <rgbColor rgb="FF800080"/>
      <rgbColor rgb="FF029037"/>
      <rgbColor rgb="FF9FCFA9"/>
      <rgbColor rgb="FF808080"/>
      <rgbColor rgb="FF9999FF"/>
      <rgbColor rgb="FF993366"/>
      <rgbColor rgb="FFF2F2F2"/>
      <rgbColor rgb="FFEFEFEF"/>
      <rgbColor rgb="FF660066"/>
      <rgbColor rgb="FFFF8080"/>
      <rgbColor rgb="FF0066CC"/>
      <rgbColor rgb="FFC5CFE0"/>
      <rgbColor rgb="FF00190A"/>
      <rgbColor rgb="FFFF00FF"/>
      <rgbColor rgb="FFFDC638"/>
      <rgbColor rgb="FF00FFFF"/>
      <rgbColor rgb="FF800080"/>
      <rgbColor rgb="FF800000"/>
      <rgbColor rgb="FF0B5E2B"/>
      <rgbColor rgb="FF0000FF"/>
      <rgbColor rgb="FF00CCFF"/>
      <rgbColor rgb="FFCCFFFF"/>
      <rgbColor rgb="FFC0E0C8"/>
      <rgbColor rgb="FFFFD84D"/>
      <rgbColor rgb="FF99CCFF"/>
      <rgbColor rgb="FFFF99CC"/>
      <rgbColor rgb="FFCC99FF"/>
      <rgbColor rgb="FFF2C94C"/>
      <rgbColor rgb="FF3366FF"/>
      <rgbColor rgb="FF33CCCC"/>
      <rgbColor rgb="FF99CC00"/>
      <rgbColor rgb="FFFEC737"/>
      <rgbColor rgb="FFEFA802"/>
      <rgbColor rgb="FFFF6600"/>
      <rgbColor rgb="FF666699"/>
      <rgbColor rgb="FF888888"/>
      <rgbColor rgb="FF001A0A"/>
      <rgbColor rgb="FF1FA64A"/>
      <rgbColor rgb="FF08431F"/>
      <rgbColor rgb="FF041B0D"/>
      <rgbColor rgb="FF993300"/>
      <rgbColor rgb="FF993366"/>
      <rgbColor rgb="FF333399"/>
      <rgbColor rgb="FF041A0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85680</xdr:colOff>
      <xdr:row>49</xdr:row>
      <xdr:rowOff>28440</xdr:rowOff>
    </xdr:from>
    <xdr:to>
      <xdr:col>22</xdr:col>
      <xdr:colOff>59760</xdr:colOff>
      <xdr:row>54</xdr:row>
      <xdr:rowOff>75600</xdr:rowOff>
    </xdr:to>
    <xdr:pic>
      <xdr:nvPicPr>
        <xdr:cNvPr id="2" name="image1.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1823760" y="4505040"/>
          <a:ext cx="485280" cy="523440"/>
        </a:xfrm>
        <a:prstGeom prst="rect">
          <a:avLst/>
        </a:prstGeom>
        <a:noFill/>
        <a:ln w="0">
          <a:noFill/>
          <a:prstDash val="solid"/>
        </a:ln>
      </xdr:spPr>
    </xdr:pic>
    <xdr:clientData/>
  </xdr:twoCellAnchor>
  <xdr:twoCellAnchor editAs="oneCell">
    <xdr:from>
      <xdr:col>62</xdr:col>
      <xdr:colOff>38160</xdr:colOff>
      <xdr:row>49</xdr:row>
      <xdr:rowOff>28440</xdr:rowOff>
    </xdr:from>
    <xdr:to>
      <xdr:col>67</xdr:col>
      <xdr:colOff>98280</xdr:colOff>
      <xdr:row>54</xdr:row>
      <xdr:rowOff>75600</xdr:rowOff>
    </xdr:to>
    <xdr:pic>
      <xdr:nvPicPr>
        <xdr:cNvPr id="4" name="image4.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6376680" y="4505040"/>
          <a:ext cx="571320" cy="523440"/>
        </a:xfrm>
        <a:prstGeom prst="rect">
          <a:avLst/>
        </a:prstGeom>
        <a:noFill/>
        <a:ln w="0">
          <a:noFill/>
          <a:prstDash val="solid"/>
        </a:ln>
      </xdr:spPr>
    </xdr:pic>
    <xdr:clientData/>
  </xdr:twoCellAnchor>
  <xdr:twoCellAnchor editAs="oneCell">
    <xdr:from>
      <xdr:col>25</xdr:col>
      <xdr:colOff>101600</xdr:colOff>
      <xdr:row>5</xdr:row>
      <xdr:rowOff>9480</xdr:rowOff>
    </xdr:from>
    <xdr:to>
      <xdr:col>32</xdr:col>
      <xdr:colOff>88900</xdr:colOff>
      <xdr:row>13</xdr:row>
      <xdr:rowOff>0</xdr:rowOff>
    </xdr:to>
    <xdr:pic>
      <xdr:nvPicPr>
        <xdr:cNvPr id="5" name="image2.pn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tretch>
          <a:fillRect/>
        </a:stretch>
      </xdr:blipFill>
      <xdr:spPr>
        <a:xfrm>
          <a:off x="2959100" y="365080"/>
          <a:ext cx="787400" cy="701720"/>
        </a:xfrm>
        <a:prstGeom prst="rect">
          <a:avLst/>
        </a:prstGeom>
        <a:noFill/>
        <a:ln w="0">
          <a:noFill/>
          <a:prstDash val="solid"/>
        </a:ln>
      </xdr:spPr>
    </xdr:pic>
    <xdr:clientData/>
  </xdr:twoCellAnchor>
  <xdr:twoCellAnchor editAs="oneCell">
    <xdr:from>
      <xdr:col>87</xdr:col>
      <xdr:colOff>31900</xdr:colOff>
      <xdr:row>4</xdr:row>
      <xdr:rowOff>55860</xdr:rowOff>
    </xdr:from>
    <xdr:to>
      <xdr:col>95</xdr:col>
      <xdr:colOff>12700</xdr:colOff>
      <xdr:row>12</xdr:row>
      <xdr:rowOff>76200</xdr:rowOff>
    </xdr:to>
    <xdr:pic>
      <xdr:nvPicPr>
        <xdr:cNvPr id="6" name="image3.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4"/>
        <a:stretch>
          <a:fillRect/>
        </a:stretch>
      </xdr:blipFill>
      <xdr:spPr>
        <a:xfrm>
          <a:off x="9976000" y="322560"/>
          <a:ext cx="895200" cy="731540"/>
        </a:xfrm>
        <a:prstGeom prst="rect">
          <a:avLst/>
        </a:prstGeom>
        <a:noFill/>
        <a:ln w="0">
          <a:noFill/>
          <a:prstDash val="solid"/>
        </a:ln>
      </xdr:spPr>
    </xdr:pic>
    <xdr:clientData/>
  </xdr:twoCellAnchor>
  <xdr:twoCellAnchor editAs="oneCell">
    <xdr:from>
      <xdr:col>3</xdr:col>
      <xdr:colOff>63499</xdr:colOff>
      <xdr:row>130</xdr:row>
      <xdr:rowOff>47460</xdr:rowOff>
    </xdr:from>
    <xdr:to>
      <xdr:col>8</xdr:col>
      <xdr:colOff>89518</xdr:colOff>
      <xdr:row>136</xdr:row>
      <xdr:rowOff>56460</xdr:rowOff>
    </xdr:to>
    <xdr:pic>
      <xdr:nvPicPr>
        <xdr:cNvPr id="7" name="image5.png">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5"/>
        <a:stretch>
          <a:fillRect/>
        </a:stretch>
      </xdr:blipFill>
      <xdr:spPr>
        <a:xfrm>
          <a:off x="406399" y="11655260"/>
          <a:ext cx="597519" cy="542400"/>
        </a:xfrm>
        <a:prstGeom prst="rect">
          <a:avLst/>
        </a:prstGeom>
        <a:noFill/>
        <a:ln w="0">
          <a:noFill/>
          <a:prstDash val="solid"/>
        </a:ln>
      </xdr:spPr>
    </xdr:pic>
    <xdr:clientData/>
  </xdr:twoCellAnchor>
  <xdr:twoCellAnchor editAs="oneCell">
    <xdr:from>
      <xdr:col>61</xdr:col>
      <xdr:colOff>25214</xdr:colOff>
      <xdr:row>70</xdr:row>
      <xdr:rowOff>37740</xdr:rowOff>
    </xdr:from>
    <xdr:to>
      <xdr:col>102</xdr:col>
      <xdr:colOff>117230</xdr:colOff>
      <xdr:row>114</xdr:row>
      <xdr:rowOff>53870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stretch>
          <a:fillRect/>
        </a:stretch>
      </xdr:blipFill>
      <xdr:spPr>
        <a:xfrm>
          <a:off x="7176291" y="6250971"/>
          <a:ext cx="4898477" cy="388474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50800</xdr:colOff>
      <xdr:row>70</xdr:row>
      <xdr:rowOff>57240</xdr:rowOff>
    </xdr:from>
    <xdr:to>
      <xdr:col>8</xdr:col>
      <xdr:colOff>62340</xdr:colOff>
      <xdr:row>76</xdr:row>
      <xdr:rowOff>66240</xdr:rowOff>
    </xdr:to>
    <xdr:pic>
      <xdr:nvPicPr>
        <xdr:cNvPr id="7" name="image5.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a:fillRect/>
        </a:stretch>
      </xdr:blipFill>
      <xdr:spPr>
        <a:xfrm>
          <a:off x="393700" y="6305640"/>
          <a:ext cx="583040" cy="542400"/>
        </a:xfrm>
        <a:prstGeom prst="rect">
          <a:avLst/>
        </a:prstGeom>
        <a:noFill/>
        <a:ln w="0">
          <a:noFill/>
          <a:prstDash val="solid"/>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urier New"/>
        <a:ea typeface="Courier New"/>
        <a:cs typeface="Courier New"/>
      </a:majorFont>
      <a:minorFont>
        <a:latin typeface="Courier New"/>
        <a:ea typeface="Courier New"/>
        <a:cs typeface="Courier New"/>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DC737"/>
  </sheetPr>
  <dimension ref="A1:GS1004"/>
  <sheetViews>
    <sheetView showGridLines="0" tabSelected="1" zoomScale="130" zoomScaleNormal="130" workbookViewId="0"/>
  </sheetViews>
  <sheetFormatPr baseColWidth="10" defaultColWidth="11.28515625" defaultRowHeight="15" customHeight="1"/>
  <cols>
    <col min="1" max="120" width="1.28515625" customWidth="1"/>
    <col min="121" max="161" width="2.28515625" customWidth="1"/>
    <col min="162" max="162" width="2.28515625" style="257" customWidth="1"/>
    <col min="163" max="201" width="11.28515625" style="257" customWidth="1"/>
  </cols>
  <sheetData>
    <row r="1" spans="1:201" s="161" customFormat="1" ht="7.5" customHeight="1">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row>
    <row r="2" spans="1:201" s="121" customFormat="1" ht="7.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256"/>
      <c r="FG2" s="257"/>
      <c r="FH2" s="257"/>
      <c r="FI2" s="257"/>
      <c r="FJ2" s="257"/>
      <c r="FK2" s="257"/>
      <c r="FL2" s="257"/>
      <c r="FM2" s="257"/>
      <c r="FN2" s="257"/>
      <c r="FO2" s="257"/>
      <c r="FP2" s="257"/>
      <c r="FQ2" s="257"/>
      <c r="FR2" s="257"/>
      <c r="FS2" s="257"/>
      <c r="FT2" s="257"/>
      <c r="FU2" s="257"/>
      <c r="FV2" s="257"/>
      <c r="FW2" s="257"/>
      <c r="FX2" s="257"/>
      <c r="FY2" s="257"/>
      <c r="FZ2" s="257"/>
      <c r="GA2" s="257"/>
      <c r="GB2" s="257"/>
      <c r="GC2" s="257"/>
      <c r="GD2" s="257"/>
      <c r="GE2" s="257"/>
      <c r="GF2" s="257"/>
      <c r="GG2" s="257"/>
      <c r="GH2" s="257"/>
      <c r="GI2" s="257"/>
      <c r="GJ2" s="257"/>
      <c r="GK2" s="257"/>
      <c r="GL2" s="257"/>
      <c r="GM2" s="257"/>
      <c r="GN2" s="257"/>
      <c r="GO2" s="257"/>
      <c r="GP2" s="257"/>
      <c r="GQ2" s="257"/>
      <c r="GR2" s="257"/>
      <c r="GS2" s="257"/>
    </row>
    <row r="3" spans="1:201" ht="7.5" customHeight="1">
      <c r="A3" s="1"/>
      <c r="B3" s="1"/>
      <c r="C3" s="1"/>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3"/>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256"/>
    </row>
    <row r="4" spans="1:201" ht="7.5" customHeight="1">
      <c r="A4" s="1"/>
      <c r="B4" s="1"/>
      <c r="C4" s="4"/>
      <c r="D4" s="308" t="str">
        <f>HYPERLINK("https://www.justgiving.com/page/predictforpsc",VLOOKUP("btn_donate_now",langTable,MATCH(langName,_lang!$A$1:$F$1,0),FALSE()))</f>
        <v>♥ DONATE NOW</v>
      </c>
      <c r="E4" s="274"/>
      <c r="F4" s="274"/>
      <c r="G4" s="274"/>
      <c r="H4" s="274"/>
      <c r="I4" s="274"/>
      <c r="J4" s="274"/>
      <c r="K4" s="274"/>
      <c r="L4" s="274"/>
      <c r="M4" s="274"/>
      <c r="N4" s="274"/>
      <c r="O4" s="274"/>
      <c r="P4" s="274"/>
      <c r="Q4" s="274"/>
      <c r="R4" s="274"/>
      <c r="S4" s="275"/>
      <c r="T4" s="1"/>
      <c r="U4" s="1"/>
      <c r="V4" s="1"/>
      <c r="W4" s="1"/>
      <c r="X4" s="1"/>
      <c r="Y4" s="1"/>
      <c r="Z4" s="1"/>
      <c r="AA4" s="1"/>
      <c r="AB4" s="1"/>
      <c r="AC4" s="1"/>
      <c r="AD4" s="1"/>
      <c r="AE4" s="1"/>
      <c r="AF4" s="1"/>
      <c r="AG4" s="1"/>
      <c r="AH4" s="324" t="s">
        <v>89</v>
      </c>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5"/>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256"/>
    </row>
    <row r="5" spans="1:201" ht="7.5" customHeight="1">
      <c r="A5" s="1"/>
      <c r="B5" s="1"/>
      <c r="C5" s="4"/>
      <c r="D5" s="309"/>
      <c r="E5" s="267"/>
      <c r="F5" s="267"/>
      <c r="G5" s="267"/>
      <c r="H5" s="267"/>
      <c r="I5" s="267"/>
      <c r="J5" s="267"/>
      <c r="K5" s="267"/>
      <c r="L5" s="267"/>
      <c r="M5" s="267"/>
      <c r="N5" s="267"/>
      <c r="O5" s="267"/>
      <c r="P5" s="267"/>
      <c r="Q5" s="267"/>
      <c r="R5" s="267"/>
      <c r="S5" s="310"/>
      <c r="T5" s="1"/>
      <c r="U5" s="1"/>
      <c r="V5" s="1"/>
      <c r="W5" s="1"/>
      <c r="X5" s="1"/>
      <c r="Y5" s="1"/>
      <c r="Z5" s="1"/>
      <c r="AA5" s="1"/>
      <c r="AB5" s="1"/>
      <c r="AC5" s="1"/>
      <c r="AD5" s="1"/>
      <c r="AE5" s="1"/>
      <c r="AF5" s="1"/>
      <c r="AG5" s="1"/>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5"/>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256"/>
    </row>
    <row r="6" spans="1:201" ht="7.5" customHeight="1">
      <c r="A6" s="1"/>
      <c r="B6" s="1"/>
      <c r="C6" s="4"/>
      <c r="D6" s="309"/>
      <c r="E6" s="267"/>
      <c r="F6" s="267"/>
      <c r="G6" s="267"/>
      <c r="H6" s="267"/>
      <c r="I6" s="267"/>
      <c r="J6" s="267"/>
      <c r="K6" s="267"/>
      <c r="L6" s="267"/>
      <c r="M6" s="267"/>
      <c r="N6" s="267"/>
      <c r="O6" s="267"/>
      <c r="P6" s="267"/>
      <c r="Q6" s="267"/>
      <c r="R6" s="267"/>
      <c r="S6" s="310"/>
      <c r="T6" s="1"/>
      <c r="U6" s="1"/>
      <c r="V6" s="1"/>
      <c r="W6" s="1"/>
      <c r="X6" s="71"/>
      <c r="Y6" s="71"/>
      <c r="Z6" s="71"/>
      <c r="AA6" s="71"/>
      <c r="AB6" s="71"/>
      <c r="AC6" s="71"/>
      <c r="AD6" s="1"/>
      <c r="AE6" s="1"/>
      <c r="AF6" s="1"/>
      <c r="AG6" s="1"/>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5"/>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256"/>
    </row>
    <row r="7" spans="1:201" ht="7.5" customHeight="1">
      <c r="A7" s="1"/>
      <c r="B7" s="1"/>
      <c r="C7" s="4"/>
      <c r="D7" s="311"/>
      <c r="E7" s="312"/>
      <c r="F7" s="312"/>
      <c r="G7" s="312"/>
      <c r="H7" s="312"/>
      <c r="I7" s="312"/>
      <c r="J7" s="312"/>
      <c r="K7" s="312"/>
      <c r="L7" s="312"/>
      <c r="M7" s="312"/>
      <c r="N7" s="312"/>
      <c r="O7" s="312"/>
      <c r="P7" s="312"/>
      <c r="Q7" s="312"/>
      <c r="R7" s="312"/>
      <c r="S7" s="313"/>
      <c r="T7" s="1"/>
      <c r="U7" s="1"/>
      <c r="V7" s="1"/>
      <c r="W7" s="1"/>
      <c r="X7" s="71"/>
      <c r="Y7" s="71"/>
      <c r="Z7" s="71"/>
      <c r="AA7" s="71"/>
      <c r="AB7" s="71"/>
      <c r="AC7" s="71"/>
      <c r="AD7" s="1"/>
      <c r="AE7" s="1"/>
      <c r="AF7" s="1"/>
      <c r="AG7" s="1"/>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1"/>
      <c r="CK7" s="1"/>
      <c r="CL7" s="1"/>
      <c r="CM7" s="71"/>
      <c r="CN7" s="71"/>
      <c r="CO7" s="71"/>
      <c r="CP7" s="71"/>
      <c r="CQ7" s="71"/>
      <c r="CR7" s="1"/>
      <c r="CS7" s="1"/>
      <c r="CT7" s="1"/>
      <c r="CU7" s="1"/>
      <c r="CV7" s="1"/>
      <c r="CW7" s="1"/>
      <c r="CX7" s="1"/>
      <c r="CY7" s="1"/>
      <c r="CZ7" s="1"/>
      <c r="DA7" s="1"/>
      <c r="DB7" s="1"/>
      <c r="DC7" s="1"/>
      <c r="DD7" s="1"/>
      <c r="DE7" s="1"/>
      <c r="DF7" s="1"/>
      <c r="DG7" s="1"/>
      <c r="DH7" s="1"/>
      <c r="DI7" s="1"/>
      <c r="DJ7" s="1"/>
      <c r="DK7" s="1"/>
      <c r="DL7" s="1"/>
      <c r="DM7" s="1"/>
      <c r="DN7" s="5"/>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256"/>
    </row>
    <row r="8" spans="1:201" ht="7.5" customHeight="1">
      <c r="A8" s="1"/>
      <c r="B8" s="1"/>
      <c r="C8" s="4"/>
      <c r="D8" s="1"/>
      <c r="E8" s="1"/>
      <c r="F8" s="1"/>
      <c r="G8" s="1"/>
      <c r="H8" s="1"/>
      <c r="I8" s="1"/>
      <c r="J8" s="1"/>
      <c r="K8" s="1"/>
      <c r="L8" s="1"/>
      <c r="M8" s="1"/>
      <c r="N8" s="1"/>
      <c r="O8" s="1"/>
      <c r="P8" s="1"/>
      <c r="Q8" s="1"/>
      <c r="R8" s="1"/>
      <c r="S8" s="1"/>
      <c r="T8" s="1"/>
      <c r="U8" s="1"/>
      <c r="V8" s="1"/>
      <c r="W8" s="1"/>
      <c r="X8" s="71"/>
      <c r="Y8" s="71"/>
      <c r="Z8" s="71"/>
      <c r="AA8" s="71"/>
      <c r="AB8" s="71"/>
      <c r="AC8" s="71"/>
      <c r="AD8" s="1"/>
      <c r="AE8" s="1"/>
      <c r="AF8" s="1"/>
      <c r="AG8" s="1"/>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1"/>
      <c r="CK8" s="1"/>
      <c r="CL8" s="1"/>
      <c r="CM8" s="71"/>
      <c r="CN8" s="71"/>
      <c r="CO8" s="71"/>
      <c r="CP8" s="71"/>
      <c r="CQ8" s="71"/>
      <c r="CR8" s="1"/>
      <c r="CS8" s="1"/>
      <c r="CT8" s="1"/>
      <c r="CU8" s="1"/>
      <c r="CV8" s="1"/>
      <c r="CW8" s="1"/>
      <c r="CX8" s="1"/>
      <c r="CY8" s="1"/>
      <c r="CZ8" s="1"/>
      <c r="DA8" s="1"/>
      <c r="DB8" s="1"/>
      <c r="DC8" s="1"/>
      <c r="DD8" s="1"/>
      <c r="DE8" s="1"/>
      <c r="DF8" s="1"/>
      <c r="DG8" s="1"/>
      <c r="DH8" s="1"/>
      <c r="DI8" s="1"/>
      <c r="DJ8" s="1"/>
      <c r="DK8" s="1"/>
      <c r="DL8" s="1"/>
      <c r="DM8" s="1"/>
      <c r="DN8" s="5"/>
      <c r="DO8" s="1"/>
      <c r="DP8" s="1">
        <v>1</v>
      </c>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256"/>
    </row>
    <row r="9" spans="1:201" ht="7.5" customHeight="1">
      <c r="A9" s="1"/>
      <c r="B9" s="1"/>
      <c r="C9" s="4"/>
      <c r="D9" s="1"/>
      <c r="E9" s="1"/>
      <c r="F9" s="1"/>
      <c r="G9" s="1"/>
      <c r="H9" s="1"/>
      <c r="I9" s="1"/>
      <c r="J9" s="1"/>
      <c r="K9" s="1"/>
      <c r="L9" s="1"/>
      <c r="M9" s="1"/>
      <c r="N9" s="1"/>
      <c r="O9" s="1"/>
      <c r="P9" s="1"/>
      <c r="Q9" s="1"/>
      <c r="R9" s="1"/>
      <c r="S9" s="1"/>
      <c r="T9" s="1"/>
      <c r="U9" s="1"/>
      <c r="V9" s="1"/>
      <c r="W9" s="1"/>
      <c r="X9" s="71"/>
      <c r="Y9" s="71"/>
      <c r="Z9" s="71"/>
      <c r="AA9" s="71"/>
      <c r="AB9" s="71"/>
      <c r="AC9" s="71"/>
      <c r="AD9" s="1"/>
      <c r="AE9" s="1"/>
      <c r="AF9" s="1"/>
      <c r="AG9" s="1"/>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1"/>
      <c r="CK9" s="1"/>
      <c r="CL9" s="1"/>
      <c r="CM9" s="71"/>
      <c r="CN9" s="71"/>
      <c r="CO9" s="71"/>
      <c r="CP9" s="71"/>
      <c r="CQ9" s="71"/>
      <c r="CR9" s="1"/>
      <c r="CS9" s="1"/>
      <c r="CT9" s="1"/>
      <c r="CU9" s="1"/>
      <c r="CV9" s="1"/>
      <c r="CW9" s="1"/>
      <c r="CX9" s="1"/>
      <c r="CY9" s="1"/>
      <c r="CZ9" s="1"/>
      <c r="DA9" s="1"/>
      <c r="DB9" s="1"/>
      <c r="DC9" s="1"/>
      <c r="DD9" s="1"/>
      <c r="DE9" s="1"/>
      <c r="DF9" s="1"/>
      <c r="DG9" s="1"/>
      <c r="DH9" s="1"/>
      <c r="DI9" s="1"/>
      <c r="DJ9" s="1"/>
      <c r="DK9" s="1"/>
      <c r="DL9" s="1"/>
      <c r="DM9" s="1"/>
      <c r="DN9" s="5"/>
      <c r="DO9" s="1"/>
      <c r="DP9" s="1">
        <v>1</v>
      </c>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256"/>
    </row>
    <row r="10" spans="1:201" ht="7.5" customHeight="1">
      <c r="A10" s="1"/>
      <c r="B10" s="1"/>
      <c r="C10" s="4"/>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71"/>
      <c r="CN10" s="71"/>
      <c r="CO10" s="71"/>
      <c r="CP10" s="71"/>
      <c r="CQ10" s="71"/>
      <c r="CR10" s="1"/>
      <c r="CS10" s="1"/>
      <c r="CT10" s="1"/>
      <c r="CU10" s="1"/>
      <c r="CV10" s="1"/>
      <c r="CW10" s="1"/>
      <c r="CX10" s="1"/>
      <c r="CY10" s="1"/>
      <c r="CZ10" s="1"/>
      <c r="DA10" s="1"/>
      <c r="DB10" s="1"/>
      <c r="DC10" s="1"/>
      <c r="DD10" s="1"/>
      <c r="DE10" s="1"/>
      <c r="DF10" s="1"/>
      <c r="DG10" s="1"/>
      <c r="DH10" s="1"/>
      <c r="DI10" s="1"/>
      <c r="DJ10" s="1"/>
      <c r="DK10" s="1"/>
      <c r="DL10" s="1"/>
      <c r="DM10" s="1"/>
      <c r="DN10" s="5"/>
      <c r="DO10" s="1"/>
      <c r="DP10" s="1">
        <v>1</v>
      </c>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256"/>
    </row>
    <row r="11" spans="1:201" ht="7.5" customHeight="1">
      <c r="A11" s="1"/>
      <c r="B11" s="1"/>
      <c r="C11" s="4"/>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307" t="str">
        <f>""&amp;VLOOKUP("subtitle",langTable,MATCH(langName,_lang!$A$1:$F$1,0),FALSE())&amp;""</f>
        <v>&gt;&gt;&gt; WORLD CUP 2026 PREDICTOR &lt;&lt;&lt;</v>
      </c>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5"/>
      <c r="DO11" s="1"/>
      <c r="DP11" s="1">
        <v>1</v>
      </c>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256"/>
    </row>
    <row r="12" spans="1:201" ht="7.5" customHeight="1">
      <c r="A12" s="1"/>
      <c r="B12" s="1"/>
      <c r="C12" s="4"/>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5"/>
      <c r="DO12" s="1"/>
      <c r="DP12" s="1">
        <v>1</v>
      </c>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256"/>
    </row>
    <row r="13" spans="1:201" ht="7.5" customHeight="1">
      <c r="A13" s="1"/>
      <c r="B13" s="1"/>
      <c r="C13" s="4"/>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5"/>
      <c r="DO13" s="1"/>
      <c r="DP13" s="1">
        <v>1</v>
      </c>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256"/>
    </row>
    <row r="14" spans="1:201" ht="7.5" customHeight="1">
      <c r="A14" s="1"/>
      <c r="B14" s="1"/>
      <c r="C14" s="4"/>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5"/>
      <c r="DO14" s="1"/>
      <c r="DP14" s="1">
        <v>1</v>
      </c>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256"/>
    </row>
    <row r="15" spans="1:201" ht="7.5" customHeight="1">
      <c r="A15" s="1"/>
      <c r="B15" s="1"/>
      <c r="C15" s="4"/>
      <c r="D15" s="1"/>
      <c r="E15" s="1"/>
      <c r="F15" s="1"/>
      <c r="G15" s="1"/>
      <c r="H15" s="1"/>
      <c r="I15" s="1"/>
      <c r="J15" s="1"/>
      <c r="K15" s="1"/>
      <c r="L15" s="1"/>
      <c r="M15" s="1"/>
      <c r="N15" s="1"/>
      <c r="O15" s="1"/>
      <c r="P15" s="1"/>
      <c r="Q15" s="1"/>
      <c r="R15" s="1"/>
      <c r="S15" s="1"/>
      <c r="T15" s="1"/>
      <c r="U15" s="1"/>
      <c r="V15" s="1"/>
      <c r="W15" s="1"/>
      <c r="X15" s="1"/>
      <c r="Y15" s="1"/>
      <c r="Z15" s="1"/>
      <c r="AA15" s="295" t="str">
        <f>VLOOKUP("tagline",langTable,MATCH(langName,_lang!$A$1:$F$1,0),FALSE())</f>
        <v>In support of PSC Support  ·  Primary Sclerosing Cholangitis (PSC)</v>
      </c>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1"/>
      <c r="CR15" s="1"/>
      <c r="CS15" s="1"/>
      <c r="CT15" s="1"/>
      <c r="CU15" s="1"/>
      <c r="CV15" s="1"/>
      <c r="CW15" s="1"/>
      <c r="CX15" s="1"/>
      <c r="CY15" s="1"/>
      <c r="CZ15" s="1"/>
      <c r="DA15" s="1"/>
      <c r="DB15" s="1"/>
      <c r="DC15" s="1"/>
      <c r="DD15" s="1"/>
      <c r="DE15" s="1"/>
      <c r="DF15" s="1"/>
      <c r="DG15" s="1"/>
      <c r="DH15" s="1"/>
      <c r="DI15" s="1"/>
      <c r="DJ15" s="1"/>
      <c r="DK15" s="1"/>
      <c r="DL15" s="1"/>
      <c r="DM15" s="1"/>
      <c r="DN15" s="5"/>
      <c r="DO15" s="1"/>
      <c r="DP15" s="1">
        <v>1</v>
      </c>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256"/>
    </row>
    <row r="16" spans="1:201" ht="7.5" customHeight="1">
      <c r="A16" s="1"/>
      <c r="B16" s="1"/>
      <c r="C16" s="4"/>
      <c r="D16" s="1"/>
      <c r="E16" s="1"/>
      <c r="F16" s="1"/>
      <c r="G16" s="1"/>
      <c r="H16" s="1"/>
      <c r="I16" s="1"/>
      <c r="J16" s="1"/>
      <c r="K16" s="1"/>
      <c r="L16" s="1"/>
      <c r="M16" s="1"/>
      <c r="N16" s="1"/>
      <c r="O16" s="1"/>
      <c r="P16" s="1"/>
      <c r="Q16" s="1"/>
      <c r="R16" s="1"/>
      <c r="S16" s="1"/>
      <c r="T16" s="1"/>
      <c r="U16" s="1"/>
      <c r="V16" s="1"/>
      <c r="W16" s="1"/>
      <c r="X16" s="1"/>
      <c r="Y16" s="1"/>
      <c r="Z16" s="1"/>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1"/>
      <c r="CR16" s="1"/>
      <c r="CS16" s="1"/>
      <c r="CT16" s="1"/>
      <c r="CU16" s="1"/>
      <c r="CV16" s="1"/>
      <c r="CW16" s="1"/>
      <c r="CX16" s="1"/>
      <c r="CY16" s="1"/>
      <c r="CZ16" s="1"/>
      <c r="DA16" s="1"/>
      <c r="DB16" s="1"/>
      <c r="DC16" s="1"/>
      <c r="DD16" s="1"/>
      <c r="DE16" s="1"/>
      <c r="DF16" s="1"/>
      <c r="DG16" s="1"/>
      <c r="DH16" s="1"/>
      <c r="DI16" s="1"/>
      <c r="DJ16" s="1"/>
      <c r="DK16" s="1"/>
      <c r="DL16" s="1"/>
      <c r="DM16" s="1"/>
      <c r="DN16" s="5"/>
      <c r="DO16" s="1"/>
      <c r="DP16" s="1">
        <v>1</v>
      </c>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256"/>
    </row>
    <row r="17" spans="1:162" ht="7.5" customHeight="1">
      <c r="A17" s="1"/>
      <c r="B17" s="1"/>
      <c r="C17" s="4"/>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6"/>
      <c r="DO17" s="1"/>
      <c r="DP17" s="1">
        <v>1</v>
      </c>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256"/>
    </row>
    <row r="18" spans="1:162" ht="7.5" customHeight="1">
      <c r="A18" s="1"/>
      <c r="B18" s="1"/>
      <c r="C18" s="4"/>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6"/>
      <c r="DO18" s="1"/>
      <c r="DP18" s="1">
        <v>1</v>
      </c>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256"/>
    </row>
    <row r="19" spans="1:162" ht="7.5" customHeight="1">
      <c r="A19" s="1"/>
      <c r="B19" s="1"/>
      <c r="C19" s="4"/>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6"/>
      <c r="DO19" s="1"/>
      <c r="DP19" s="1">
        <v>1</v>
      </c>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256"/>
    </row>
    <row r="20" spans="1:162" ht="7.5" customHeight="1">
      <c r="A20" s="1"/>
      <c r="B20" s="1"/>
      <c r="C20" s="4"/>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294" t="str">
        <f>VLOOKUP("wc_kickoff_hdr",langTable,MATCH(langName,_lang!$A$1:$F$1,0),FALSE())</f>
        <v>&gt;&gt;&gt; KICK-OFF IN &lt;&lt;&lt;</v>
      </c>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6"/>
      <c r="DO20" s="1"/>
      <c r="DP20" s="1">
        <v>1</v>
      </c>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256"/>
    </row>
    <row r="21" spans="1:162" ht="7.5" customHeight="1">
      <c r="A21" s="1"/>
      <c r="B21" s="1"/>
      <c r="C21" s="4"/>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6"/>
      <c r="DO21" s="1"/>
      <c r="DP21" s="1">
        <v>1</v>
      </c>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256"/>
    </row>
    <row r="22" spans="1:162" ht="7.5" customHeight="1">
      <c r="A22" s="1"/>
      <c r="B22" s="1"/>
      <c r="C22" s="4"/>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6"/>
      <c r="DO22" s="1"/>
      <c r="DP22" s="1">
        <v>1</v>
      </c>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256"/>
    </row>
    <row r="23" spans="1:162" ht="7.5" customHeight="1">
      <c r="A23" s="1"/>
      <c r="B23" s="1"/>
      <c r="C23" s="4"/>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6"/>
      <c r="DO23" s="1"/>
      <c r="DP23" s="1">
        <v>1</v>
      </c>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256"/>
    </row>
    <row r="24" spans="1:162" ht="7.5" customHeight="1">
      <c r="A24" s="1"/>
      <c r="B24" s="1"/>
      <c r="C24" s="4"/>
      <c r="D24" s="1"/>
      <c r="E24" s="1"/>
      <c r="F24" s="1"/>
      <c r="G24" s="1"/>
      <c r="H24" s="1"/>
      <c r="I24" s="1"/>
      <c r="J24" s="1"/>
      <c r="K24" s="1"/>
      <c r="L24" s="1"/>
      <c r="M24" s="1"/>
      <c r="N24" s="1"/>
      <c r="O24" s="1"/>
      <c r="P24" s="1"/>
      <c r="Q24" s="285" t="str">
        <f>VLOOKUP("days",langTable,MATCH(langName,_lang!$A$1:$F$1,0),FALSE())</f>
        <v>DAYS</v>
      </c>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7"/>
      <c r="AS24" s="8"/>
      <c r="AT24" s="8"/>
      <c r="AU24" s="285" t="str">
        <f>VLOOKUP("hours",langTable,MATCH(langName,_lang!$A$1:$F$1,0),FALSE())</f>
        <v>HOURS</v>
      </c>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7"/>
      <c r="BW24" s="8"/>
      <c r="BX24" s="8"/>
      <c r="BY24" s="301" t="str">
        <f>VLOOKUP("mins",langTable,MATCH(langName,_lang!$A$1:$F$1,0),FALSE())</f>
        <v>MINS</v>
      </c>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7"/>
      <c r="DA24" s="1"/>
      <c r="DB24" s="1"/>
      <c r="DC24" s="1"/>
      <c r="DD24" s="1"/>
      <c r="DE24" s="1"/>
      <c r="DF24" s="1"/>
      <c r="DG24" s="1"/>
      <c r="DH24" s="1"/>
      <c r="DI24" s="1"/>
      <c r="DJ24" s="1"/>
      <c r="DK24" s="1"/>
      <c r="DL24" s="1"/>
      <c r="DM24" s="1"/>
      <c r="DN24" s="6"/>
      <c r="DO24" s="1"/>
      <c r="DP24" s="1">
        <v>1</v>
      </c>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256"/>
    </row>
    <row r="25" spans="1:162" ht="7.5" customHeight="1">
      <c r="A25" s="1"/>
      <c r="B25" s="1"/>
      <c r="C25" s="4"/>
      <c r="D25" s="1"/>
      <c r="E25" s="1"/>
      <c r="F25" s="1"/>
      <c r="G25" s="1"/>
      <c r="H25" s="1"/>
      <c r="I25" s="1"/>
      <c r="J25" s="1"/>
      <c r="K25" s="1"/>
      <c r="L25" s="1"/>
      <c r="M25" s="1"/>
      <c r="N25" s="1"/>
      <c r="O25" s="1"/>
      <c r="P25" s="1"/>
      <c r="Q25" s="288"/>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89"/>
      <c r="AS25" s="8"/>
      <c r="AT25" s="8"/>
      <c r="AU25" s="288"/>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89"/>
      <c r="BW25" s="8"/>
      <c r="BX25" s="8"/>
      <c r="BY25" s="288"/>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89"/>
      <c r="DA25" s="1"/>
      <c r="DB25" s="1"/>
      <c r="DC25" s="1"/>
      <c r="DD25" s="1"/>
      <c r="DE25" s="1"/>
      <c r="DF25" s="1"/>
      <c r="DG25" s="1"/>
      <c r="DH25" s="1"/>
      <c r="DI25" s="1"/>
      <c r="DJ25" s="1"/>
      <c r="DK25" s="1"/>
      <c r="DL25" s="1"/>
      <c r="DM25" s="1"/>
      <c r="DN25" s="6"/>
      <c r="DO25" s="1"/>
      <c r="DP25" s="1">
        <v>1</v>
      </c>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256"/>
    </row>
    <row r="26" spans="1:162" ht="7.5" customHeight="1">
      <c r="A26" s="1"/>
      <c r="B26" s="1"/>
      <c r="C26" s="4"/>
      <c r="D26" s="1"/>
      <c r="E26" s="1"/>
      <c r="F26" s="1"/>
      <c r="G26" s="1"/>
      <c r="H26" s="1"/>
      <c r="I26" s="1"/>
      <c r="J26" s="1"/>
      <c r="K26" s="1"/>
      <c r="L26" s="1"/>
      <c r="M26" s="1"/>
      <c r="N26" s="1"/>
      <c r="O26" s="1"/>
      <c r="P26" s="1"/>
      <c r="Q26" s="288"/>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89"/>
      <c r="AS26" s="8"/>
      <c r="AT26" s="8"/>
      <c r="AU26" s="288"/>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89"/>
      <c r="BW26" s="8"/>
      <c r="BX26" s="8"/>
      <c r="BY26" s="288"/>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89"/>
      <c r="DA26" s="1"/>
      <c r="DB26" s="1"/>
      <c r="DC26" s="1"/>
      <c r="DD26" s="1"/>
      <c r="DE26" s="1"/>
      <c r="DF26" s="1"/>
      <c r="DG26" s="1"/>
      <c r="DH26" s="1"/>
      <c r="DI26" s="1"/>
      <c r="DJ26" s="1"/>
      <c r="DK26" s="1"/>
      <c r="DL26" s="1"/>
      <c r="DM26" s="1"/>
      <c r="DN26" s="6"/>
      <c r="DO26" s="1"/>
      <c r="DP26" s="1">
        <v>1</v>
      </c>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256"/>
    </row>
    <row r="27" spans="1:162" ht="7.5" customHeight="1">
      <c r="A27" s="1"/>
      <c r="B27" s="1"/>
      <c r="C27" s="4"/>
      <c r="D27" s="1"/>
      <c r="E27" s="1"/>
      <c r="F27" s="1"/>
      <c r="G27" s="1"/>
      <c r="H27" s="1"/>
      <c r="I27" s="1"/>
      <c r="J27" s="1"/>
      <c r="K27" s="1"/>
      <c r="L27" s="1"/>
      <c r="M27" s="1"/>
      <c r="N27" s="1"/>
      <c r="O27" s="1"/>
      <c r="P27" s="1"/>
      <c r="Q27" s="291" t="str">
        <f ca="1">IF((DATE(2026,6,11)+TIME(19,0,0))-NOW()&gt;0,TEXT(INT((DATE(2026,6,11)+TIME(19,0,0))-NOW()),"000"),"000")</f>
        <v>003</v>
      </c>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89"/>
      <c r="AS27" s="1"/>
      <c r="AT27" s="1"/>
      <c r="AU27" s="291" t="str">
        <f ca="1">IF((DATE(2026,6,11)+TIME(19,0,0))-NOW()&gt;0,TEXT(MOD(INT(((DATE(2026,6,11)+TIME(19,0,0))-NOW())*24),24),"00"),"00")</f>
        <v>00</v>
      </c>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89"/>
      <c r="BW27" s="1"/>
      <c r="BX27" s="1"/>
      <c r="BY27" s="291" t="str">
        <f ca="1">IF((DATE(2026,6,11)+TIME(19,0,0))-NOW()&gt;0,TEXT(MOD(INT(((DATE(2026,6,11)+TIME(19,0,0))-NOW())*1440),60),"00"),"00")</f>
        <v>18</v>
      </c>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89"/>
      <c r="DA27" s="1"/>
      <c r="DB27" s="1"/>
      <c r="DC27" s="1"/>
      <c r="DD27" s="1"/>
      <c r="DE27" s="1"/>
      <c r="DF27" s="1"/>
      <c r="DG27" s="1"/>
      <c r="DH27" s="1"/>
      <c r="DI27" s="1"/>
      <c r="DJ27" s="1"/>
      <c r="DK27" s="1"/>
      <c r="DL27" s="1"/>
      <c r="DM27" s="1"/>
      <c r="DN27" s="6"/>
      <c r="DO27" s="1"/>
      <c r="DP27" s="1">
        <v>1</v>
      </c>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256"/>
    </row>
    <row r="28" spans="1:162" ht="7.5" customHeight="1">
      <c r="A28" s="1"/>
      <c r="B28" s="1"/>
      <c r="C28" s="4"/>
      <c r="D28" s="1"/>
      <c r="E28" s="1"/>
      <c r="F28" s="1"/>
      <c r="G28" s="1"/>
      <c r="H28" s="1"/>
      <c r="I28" s="1"/>
      <c r="J28" s="1"/>
      <c r="K28" s="1"/>
      <c r="L28" s="1"/>
      <c r="M28" s="1"/>
      <c r="N28" s="1"/>
      <c r="O28" s="1"/>
      <c r="P28" s="1"/>
      <c r="Q28" s="288"/>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89"/>
      <c r="AS28" s="1"/>
      <c r="AT28" s="1"/>
      <c r="AU28" s="288"/>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89"/>
      <c r="BW28" s="1"/>
      <c r="BX28" s="1"/>
      <c r="BY28" s="288"/>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89"/>
      <c r="DA28" s="1"/>
      <c r="DB28" s="1"/>
      <c r="DC28" s="1"/>
      <c r="DD28" s="1"/>
      <c r="DE28" s="1"/>
      <c r="DF28" s="1"/>
      <c r="DG28" s="1"/>
      <c r="DH28" s="1"/>
      <c r="DI28" s="1"/>
      <c r="DJ28" s="1"/>
      <c r="DK28" s="1"/>
      <c r="DL28" s="1"/>
      <c r="DM28" s="1"/>
      <c r="DN28" s="6"/>
      <c r="DO28" s="1"/>
      <c r="DP28" s="1">
        <v>1</v>
      </c>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256"/>
    </row>
    <row r="29" spans="1:162" ht="7.5" customHeight="1">
      <c r="A29" s="1"/>
      <c r="B29" s="1"/>
      <c r="C29" s="4"/>
      <c r="D29" s="1"/>
      <c r="E29" s="1"/>
      <c r="F29" s="1"/>
      <c r="G29" s="1"/>
      <c r="H29" s="1"/>
      <c r="I29" s="1"/>
      <c r="J29" s="1"/>
      <c r="K29" s="1"/>
      <c r="L29" s="1"/>
      <c r="M29" s="1"/>
      <c r="N29" s="1"/>
      <c r="O29" s="1"/>
      <c r="P29" s="1"/>
      <c r="Q29" s="288"/>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89"/>
      <c r="AS29" s="1"/>
      <c r="AT29" s="1"/>
      <c r="AU29" s="288"/>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89"/>
      <c r="BW29" s="1"/>
      <c r="BX29" s="1"/>
      <c r="BY29" s="288"/>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89"/>
      <c r="DA29" s="1"/>
      <c r="DB29" s="1"/>
      <c r="DC29" s="1"/>
      <c r="DD29" s="1"/>
      <c r="DE29" s="1"/>
      <c r="DF29" s="1"/>
      <c r="DG29" s="1"/>
      <c r="DH29" s="1"/>
      <c r="DI29" s="1"/>
      <c r="DJ29" s="1"/>
      <c r="DK29" s="1"/>
      <c r="DL29" s="1"/>
      <c r="DM29" s="1"/>
      <c r="DN29" s="6"/>
      <c r="DO29" s="1"/>
      <c r="DP29" s="1">
        <v>1</v>
      </c>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256"/>
    </row>
    <row r="30" spans="1:162" ht="7.5" customHeight="1">
      <c r="A30" s="1"/>
      <c r="B30" s="1"/>
      <c r="C30" s="4"/>
      <c r="D30" s="1"/>
      <c r="E30" s="1"/>
      <c r="F30" s="1"/>
      <c r="G30" s="1"/>
      <c r="H30" s="1"/>
      <c r="I30" s="1"/>
      <c r="J30" s="1"/>
      <c r="K30" s="1"/>
      <c r="L30" s="1"/>
      <c r="M30" s="1"/>
      <c r="N30" s="1"/>
      <c r="O30" s="1"/>
      <c r="P30" s="1"/>
      <c r="Q30" s="288"/>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89"/>
      <c r="AS30" s="1"/>
      <c r="AT30" s="1"/>
      <c r="AU30" s="288"/>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89"/>
      <c r="BW30" s="1"/>
      <c r="BX30" s="1"/>
      <c r="BY30" s="288"/>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89"/>
      <c r="DA30" s="1"/>
      <c r="DB30" s="1"/>
      <c r="DC30" s="1"/>
      <c r="DD30" s="1"/>
      <c r="DE30" s="1"/>
      <c r="DF30" s="1"/>
      <c r="DG30" s="1"/>
      <c r="DH30" s="1"/>
      <c r="DI30" s="1"/>
      <c r="DJ30" s="1"/>
      <c r="DK30" s="1"/>
      <c r="DL30" s="1"/>
      <c r="DM30" s="1"/>
      <c r="DN30" s="6"/>
      <c r="DO30" s="1"/>
      <c r="DP30" s="1">
        <v>1</v>
      </c>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256"/>
    </row>
    <row r="31" spans="1:162" ht="7.5" customHeight="1">
      <c r="A31" s="1"/>
      <c r="B31" s="1"/>
      <c r="C31" s="4"/>
      <c r="D31" s="1"/>
      <c r="E31" s="1"/>
      <c r="F31" s="1"/>
      <c r="G31" s="1"/>
      <c r="H31" s="1"/>
      <c r="I31" s="1"/>
      <c r="J31" s="1"/>
      <c r="K31" s="1"/>
      <c r="L31" s="1"/>
      <c r="M31" s="1"/>
      <c r="N31" s="1"/>
      <c r="O31" s="1"/>
      <c r="P31" s="1"/>
      <c r="Q31" s="288"/>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89"/>
      <c r="AS31" s="1"/>
      <c r="AT31" s="1"/>
      <c r="AU31" s="288"/>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89"/>
      <c r="BW31" s="1"/>
      <c r="BX31" s="1"/>
      <c r="BY31" s="288"/>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89"/>
      <c r="DA31" s="1"/>
      <c r="DB31" s="1"/>
      <c r="DC31" s="1"/>
      <c r="DD31" s="1"/>
      <c r="DE31" s="1"/>
      <c r="DF31" s="1"/>
      <c r="DG31" s="1"/>
      <c r="DH31" s="1"/>
      <c r="DI31" s="1"/>
      <c r="DJ31" s="1"/>
      <c r="DK31" s="1"/>
      <c r="DL31" s="1"/>
      <c r="DM31" s="1"/>
      <c r="DN31" s="6"/>
      <c r="DO31" s="1"/>
      <c r="DP31" s="1">
        <v>1</v>
      </c>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256"/>
    </row>
    <row r="32" spans="1:162" ht="7.5" customHeight="1">
      <c r="A32" s="1"/>
      <c r="B32" s="1"/>
      <c r="C32" s="4"/>
      <c r="D32" s="1"/>
      <c r="E32" s="1"/>
      <c r="F32" s="1"/>
      <c r="G32" s="1"/>
      <c r="H32" s="1"/>
      <c r="I32" s="1"/>
      <c r="J32" s="1"/>
      <c r="K32" s="1"/>
      <c r="L32" s="1"/>
      <c r="M32" s="1"/>
      <c r="N32" s="1"/>
      <c r="O32" s="1"/>
      <c r="P32" s="1"/>
      <c r="Q32" s="288"/>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89"/>
      <c r="AS32" s="1"/>
      <c r="AT32" s="1"/>
      <c r="AU32" s="288"/>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89"/>
      <c r="BW32" s="1"/>
      <c r="BX32" s="1"/>
      <c r="BY32" s="288"/>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89"/>
      <c r="DA32" s="1"/>
      <c r="DB32" s="1"/>
      <c r="DC32" s="1"/>
      <c r="DD32" s="1"/>
      <c r="DE32" s="1"/>
      <c r="DF32" s="1"/>
      <c r="DG32" s="1"/>
      <c r="DH32" s="1"/>
      <c r="DI32" s="1"/>
      <c r="DJ32" s="1"/>
      <c r="DK32" s="1"/>
      <c r="DL32" s="1"/>
      <c r="DM32" s="1"/>
      <c r="DN32" s="6"/>
      <c r="DO32" s="1"/>
      <c r="DP32" s="1">
        <v>1</v>
      </c>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256"/>
    </row>
    <row r="33" spans="1:162" ht="6" customHeight="1">
      <c r="A33" s="1"/>
      <c r="B33" s="1"/>
      <c r="C33" s="4"/>
      <c r="D33" s="1"/>
      <c r="E33" s="1"/>
      <c r="F33" s="1"/>
      <c r="G33" s="1"/>
      <c r="H33" s="1"/>
      <c r="I33" s="1"/>
      <c r="J33" s="1"/>
      <c r="K33" s="1"/>
      <c r="L33" s="1"/>
      <c r="M33" s="1"/>
      <c r="N33" s="1"/>
      <c r="O33" s="1"/>
      <c r="P33" s="1"/>
      <c r="Q33" s="288"/>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89"/>
      <c r="AS33" s="1"/>
      <c r="AT33" s="1"/>
      <c r="AU33" s="288"/>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89"/>
      <c r="BW33" s="1"/>
      <c r="BX33" s="1"/>
      <c r="BY33" s="288"/>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89"/>
      <c r="DA33" s="1"/>
      <c r="DB33" s="1"/>
      <c r="DC33" s="1"/>
      <c r="DD33" s="1"/>
      <c r="DE33" s="1"/>
      <c r="DF33" s="1"/>
      <c r="DG33" s="1"/>
      <c r="DH33" s="1"/>
      <c r="DI33" s="1"/>
      <c r="DJ33" s="1"/>
      <c r="DK33" s="1"/>
      <c r="DL33" s="1"/>
      <c r="DM33" s="1"/>
      <c r="DN33" s="6"/>
      <c r="DO33" s="1"/>
      <c r="DP33" s="1">
        <v>1</v>
      </c>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256"/>
    </row>
    <row r="34" spans="1:162" ht="7.5" customHeight="1">
      <c r="A34" s="1"/>
      <c r="B34" s="1"/>
      <c r="C34" s="4"/>
      <c r="D34" s="1"/>
      <c r="E34" s="1"/>
      <c r="F34" s="1"/>
      <c r="G34" s="1"/>
      <c r="H34" s="1"/>
      <c r="I34" s="1"/>
      <c r="J34" s="1"/>
      <c r="K34" s="1"/>
      <c r="L34" s="1"/>
      <c r="M34" s="1"/>
      <c r="N34" s="1"/>
      <c r="O34" s="1"/>
      <c r="P34" s="1"/>
      <c r="Q34" s="288"/>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89"/>
      <c r="AS34" s="1"/>
      <c r="AT34" s="1"/>
      <c r="AU34" s="288"/>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89"/>
      <c r="BW34" s="1"/>
      <c r="BX34" s="1"/>
      <c r="BY34" s="288"/>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89"/>
      <c r="DA34" s="1"/>
      <c r="DB34" s="1"/>
      <c r="DC34" s="1"/>
      <c r="DD34" s="1"/>
      <c r="DE34" s="1"/>
      <c r="DF34" s="1"/>
      <c r="DG34" s="1"/>
      <c r="DH34" s="1"/>
      <c r="DI34" s="1"/>
      <c r="DJ34" s="1"/>
      <c r="DK34" s="1"/>
      <c r="DL34" s="1"/>
      <c r="DM34" s="1"/>
      <c r="DN34" s="6"/>
      <c r="DO34" s="1"/>
      <c r="DP34" s="1">
        <v>1</v>
      </c>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256"/>
    </row>
    <row r="35" spans="1:162" ht="7.5" customHeight="1">
      <c r="A35" s="1"/>
      <c r="B35" s="1"/>
      <c r="C35" s="4"/>
      <c r="D35" s="1"/>
      <c r="E35" s="1"/>
      <c r="F35" s="1"/>
      <c r="G35" s="1"/>
      <c r="H35" s="1"/>
      <c r="I35" s="1"/>
      <c r="J35" s="1"/>
      <c r="K35" s="1"/>
      <c r="L35" s="1"/>
      <c r="M35" s="1"/>
      <c r="N35" s="1"/>
      <c r="O35" s="1"/>
      <c r="P35" s="1"/>
      <c r="Q35" s="288"/>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89"/>
      <c r="AS35" s="1"/>
      <c r="AT35" s="1"/>
      <c r="AU35" s="288"/>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89"/>
      <c r="BW35" s="1"/>
      <c r="BX35" s="1"/>
      <c r="BY35" s="288"/>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89"/>
      <c r="DA35" s="1"/>
      <c r="DB35" s="1"/>
      <c r="DC35" s="1"/>
      <c r="DD35" s="1"/>
      <c r="DE35" s="1"/>
      <c r="DF35" s="1"/>
      <c r="DG35" s="1"/>
      <c r="DH35" s="1"/>
      <c r="DI35" s="1"/>
      <c r="DJ35" s="1"/>
      <c r="DK35" s="1"/>
      <c r="DL35" s="1"/>
      <c r="DM35" s="1"/>
      <c r="DN35" s="6"/>
      <c r="DO35" s="1"/>
      <c r="DP35" s="1">
        <v>1</v>
      </c>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256"/>
    </row>
    <row r="36" spans="1:162" ht="7.5" customHeight="1">
      <c r="A36" s="1"/>
      <c r="B36" s="1"/>
      <c r="C36" s="4"/>
      <c r="D36" s="1"/>
      <c r="E36" s="1"/>
      <c r="F36" s="1"/>
      <c r="G36" s="1"/>
      <c r="H36" s="1"/>
      <c r="I36" s="1"/>
      <c r="J36" s="1"/>
      <c r="K36" s="1"/>
      <c r="L36" s="1"/>
      <c r="M36" s="1"/>
      <c r="N36" s="1"/>
      <c r="O36" s="1"/>
      <c r="P36" s="1"/>
      <c r="Q36" s="288"/>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89"/>
      <c r="AS36" s="1"/>
      <c r="AT36" s="1"/>
      <c r="AU36" s="288"/>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89"/>
      <c r="BW36" s="1"/>
      <c r="BX36" s="1"/>
      <c r="BY36" s="288"/>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89"/>
      <c r="DA36" s="1"/>
      <c r="DB36" s="1"/>
      <c r="DC36" s="1"/>
      <c r="DD36" s="1"/>
      <c r="DE36" s="1"/>
      <c r="DF36" s="1"/>
      <c r="DG36" s="1"/>
      <c r="DH36" s="1"/>
      <c r="DI36" s="1"/>
      <c r="DJ36" s="1"/>
      <c r="DK36" s="1"/>
      <c r="DL36" s="1"/>
      <c r="DM36" s="1"/>
      <c r="DN36" s="6"/>
      <c r="DO36" s="1"/>
      <c r="DP36" s="1">
        <v>1</v>
      </c>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256"/>
    </row>
    <row r="37" spans="1:162" ht="7.5" customHeight="1">
      <c r="A37" s="1"/>
      <c r="B37" s="1"/>
      <c r="C37" s="4"/>
      <c r="D37" s="1"/>
      <c r="E37" s="1"/>
      <c r="F37" s="1"/>
      <c r="G37" s="1"/>
      <c r="H37" s="1"/>
      <c r="I37" s="1"/>
      <c r="J37" s="1"/>
      <c r="K37" s="1"/>
      <c r="L37" s="1"/>
      <c r="M37" s="1"/>
      <c r="N37" s="1"/>
      <c r="O37" s="1"/>
      <c r="P37" s="1"/>
      <c r="Q37" s="29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89"/>
      <c r="AS37" s="1"/>
      <c r="AT37" s="1"/>
      <c r="AU37" s="29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89"/>
      <c r="BW37" s="1"/>
      <c r="BX37" s="1"/>
      <c r="BY37" s="29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89"/>
      <c r="DA37" s="1"/>
      <c r="DB37" s="1"/>
      <c r="DC37" s="1"/>
      <c r="DD37" s="1"/>
      <c r="DE37" s="1"/>
      <c r="DF37" s="1"/>
      <c r="DG37" s="1"/>
      <c r="DH37" s="1"/>
      <c r="DI37" s="1"/>
      <c r="DJ37" s="1"/>
      <c r="DK37" s="1"/>
      <c r="DL37" s="1"/>
      <c r="DM37" s="1"/>
      <c r="DN37" s="6"/>
      <c r="DO37" s="1"/>
      <c r="DP37" s="1">
        <v>1</v>
      </c>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256"/>
    </row>
    <row r="38" spans="1:162" ht="7.5" customHeight="1">
      <c r="A38" s="1"/>
      <c r="B38" s="1"/>
      <c r="C38" s="4"/>
      <c r="D38" s="1"/>
      <c r="E38" s="1"/>
      <c r="F38" s="1"/>
      <c r="G38" s="1"/>
      <c r="H38" s="1"/>
      <c r="I38" s="1"/>
      <c r="J38" s="1"/>
      <c r="K38" s="1"/>
      <c r="L38" s="1"/>
      <c r="M38" s="1"/>
      <c r="N38" s="1"/>
      <c r="O38" s="1"/>
      <c r="P38" s="1"/>
      <c r="Q38" s="288"/>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89"/>
      <c r="AS38" s="1"/>
      <c r="AT38" s="1"/>
      <c r="AU38" s="288"/>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89"/>
      <c r="BW38" s="1"/>
      <c r="BX38" s="1"/>
      <c r="BY38" s="288"/>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89"/>
      <c r="DA38" s="1"/>
      <c r="DB38" s="1"/>
      <c r="DC38" s="1"/>
      <c r="DD38" s="1"/>
      <c r="DE38" s="1"/>
      <c r="DF38" s="1"/>
      <c r="DG38" s="1"/>
      <c r="DH38" s="1"/>
      <c r="DI38" s="1"/>
      <c r="DJ38" s="1"/>
      <c r="DK38" s="1"/>
      <c r="DL38" s="1"/>
      <c r="DM38" s="1"/>
      <c r="DN38" s="6"/>
      <c r="DO38" s="1"/>
      <c r="DP38" s="1">
        <v>1</v>
      </c>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256"/>
    </row>
    <row r="39" spans="1:162" ht="7.5" customHeight="1">
      <c r="A39" s="1"/>
      <c r="B39" s="1"/>
      <c r="C39" s="4"/>
      <c r="D39" s="1"/>
      <c r="E39" s="1"/>
      <c r="F39" s="1"/>
      <c r="G39" s="1"/>
      <c r="H39" s="1"/>
      <c r="I39" s="1"/>
      <c r="J39" s="1"/>
      <c r="K39" s="1"/>
      <c r="L39" s="1"/>
      <c r="M39" s="1"/>
      <c r="N39" s="1"/>
      <c r="O39" s="1"/>
      <c r="P39" s="1"/>
      <c r="Q39" s="298"/>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300"/>
      <c r="AS39" s="1"/>
      <c r="AT39" s="1"/>
      <c r="AU39" s="298"/>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300"/>
      <c r="BW39" s="1"/>
      <c r="BX39" s="1"/>
      <c r="BY39" s="298"/>
      <c r="BZ39" s="299"/>
      <c r="CA39" s="299"/>
      <c r="CB39" s="299"/>
      <c r="CC39" s="299"/>
      <c r="CD39" s="299"/>
      <c r="CE39" s="299"/>
      <c r="CF39" s="299"/>
      <c r="CG39" s="299"/>
      <c r="CH39" s="299"/>
      <c r="CI39" s="299"/>
      <c r="CJ39" s="299"/>
      <c r="CK39" s="299"/>
      <c r="CL39" s="299"/>
      <c r="CM39" s="299"/>
      <c r="CN39" s="299"/>
      <c r="CO39" s="299"/>
      <c r="CP39" s="299"/>
      <c r="CQ39" s="299"/>
      <c r="CR39" s="299"/>
      <c r="CS39" s="299"/>
      <c r="CT39" s="299"/>
      <c r="CU39" s="299"/>
      <c r="CV39" s="299"/>
      <c r="CW39" s="299"/>
      <c r="CX39" s="299"/>
      <c r="CY39" s="299"/>
      <c r="CZ39" s="300"/>
      <c r="DA39" s="1"/>
      <c r="DB39" s="1"/>
      <c r="DC39" s="1"/>
      <c r="DD39" s="1"/>
      <c r="DE39" s="1"/>
      <c r="DF39" s="1"/>
      <c r="DG39" s="1"/>
      <c r="DH39" s="1"/>
      <c r="DI39" s="1"/>
      <c r="DJ39" s="1"/>
      <c r="DK39" s="1"/>
      <c r="DL39" s="1"/>
      <c r="DM39" s="1"/>
      <c r="DN39" s="6"/>
      <c r="DO39" s="1"/>
      <c r="DP39" s="1">
        <v>1</v>
      </c>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256"/>
    </row>
    <row r="40" spans="1:162" ht="7.5" customHeight="1">
      <c r="A40" s="1"/>
      <c r="B40" s="1"/>
      <c r="C40" s="4"/>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6"/>
      <c r="DO40" s="1"/>
      <c r="DP40" s="1">
        <v>1</v>
      </c>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256"/>
    </row>
    <row r="41" spans="1:162" ht="7.5" customHeight="1">
      <c r="A41" s="1"/>
      <c r="B41" s="1"/>
      <c r="C41" s="4"/>
      <c r="D41" s="1"/>
      <c r="E41" s="1"/>
      <c r="F41" s="1"/>
      <c r="G41" s="1"/>
      <c r="H41" s="1"/>
      <c r="I41" s="1"/>
      <c r="J41" s="1"/>
      <c r="K41" s="1"/>
      <c r="L41" s="1"/>
      <c r="M41" s="1"/>
      <c r="N41" s="1"/>
      <c r="O41" s="1"/>
      <c r="P41" s="1"/>
      <c r="Q41" s="1"/>
      <c r="R41" s="292" t="str">
        <f>VLOOKUP("kickoff_info",langTable,MATCH(langName,_lang!$A$1:$F$1,0),FALSE())</f>
        <v>11 June 2026  ·  Mexico v South Africa  ·  Estadio Azteca, Mexico City</v>
      </c>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1"/>
      <c r="DA41" s="1"/>
      <c r="DB41" s="1"/>
      <c r="DC41" s="1"/>
      <c r="DD41" s="1"/>
      <c r="DE41" s="1"/>
      <c r="DF41" s="1"/>
      <c r="DG41" s="1"/>
      <c r="DH41" s="1"/>
      <c r="DI41" s="1"/>
      <c r="DJ41" s="1"/>
      <c r="DK41" s="1"/>
      <c r="DL41" s="1"/>
      <c r="DM41" s="1"/>
      <c r="DN41" s="6"/>
      <c r="DO41" s="1"/>
      <c r="DP41" s="1">
        <v>1</v>
      </c>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256"/>
    </row>
    <row r="42" spans="1:162" ht="7.5" customHeight="1">
      <c r="A42" s="1"/>
      <c r="B42" s="1"/>
      <c r="C42" s="4"/>
      <c r="D42" s="1"/>
      <c r="E42" s="1"/>
      <c r="F42" s="1"/>
      <c r="G42" s="1"/>
      <c r="H42" s="1"/>
      <c r="I42" s="1"/>
      <c r="J42" s="1"/>
      <c r="K42" s="1"/>
      <c r="L42" s="1"/>
      <c r="M42" s="1"/>
      <c r="N42" s="1"/>
      <c r="O42" s="1"/>
      <c r="P42" s="1"/>
      <c r="Q42" s="1"/>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1"/>
      <c r="DA42" s="1"/>
      <c r="DB42" s="1"/>
      <c r="DC42" s="1"/>
      <c r="DD42" s="1"/>
      <c r="DE42" s="1"/>
      <c r="DF42" s="1"/>
      <c r="DG42" s="1"/>
      <c r="DH42" s="1"/>
      <c r="DI42" s="1"/>
      <c r="DJ42" s="1"/>
      <c r="DK42" s="1"/>
      <c r="DL42" s="1"/>
      <c r="DM42" s="1"/>
      <c r="DN42" s="6"/>
      <c r="DO42" s="1"/>
      <c r="DP42" s="1">
        <v>1</v>
      </c>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256"/>
    </row>
    <row r="43" spans="1:162" ht="7.5" customHeight="1">
      <c r="A43" s="1"/>
      <c r="B43" s="1"/>
      <c r="C43" s="4"/>
      <c r="D43" s="1"/>
      <c r="E43" s="1"/>
      <c r="F43" s="1"/>
      <c r="G43" s="1"/>
      <c r="H43" s="1"/>
      <c r="I43" s="1"/>
      <c r="J43" s="1"/>
      <c r="K43" s="1"/>
      <c r="L43" s="1"/>
      <c r="M43" s="1"/>
      <c r="N43" s="1"/>
      <c r="O43" s="1"/>
      <c r="P43" s="1"/>
      <c r="Q43" s="1"/>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1"/>
      <c r="DA43" s="1"/>
      <c r="DB43" s="1"/>
      <c r="DC43" s="1"/>
      <c r="DD43" s="1"/>
      <c r="DE43" s="1"/>
      <c r="DF43" s="1"/>
      <c r="DG43" s="1"/>
      <c r="DH43" s="1"/>
      <c r="DI43" s="1"/>
      <c r="DJ43" s="1"/>
      <c r="DK43" s="1"/>
      <c r="DL43" s="1"/>
      <c r="DM43" s="1"/>
      <c r="DN43" s="6"/>
      <c r="DO43" s="1"/>
      <c r="DP43" s="1">
        <v>1</v>
      </c>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256"/>
    </row>
    <row r="44" spans="1:162" ht="7.5" customHeight="1">
      <c r="A44" s="1"/>
      <c r="B44" s="1"/>
      <c r="C44" s="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6"/>
      <c r="DO44" s="1"/>
      <c r="DP44" s="1">
        <v>1</v>
      </c>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256"/>
    </row>
    <row r="45" spans="1:162" ht="7.5" customHeight="1">
      <c r="A45" s="1"/>
      <c r="B45" s="1"/>
      <c r="C45" s="4"/>
      <c r="D45" s="1"/>
      <c r="E45" s="1"/>
      <c r="F45" s="1"/>
      <c r="G45" s="1"/>
      <c r="H45" s="1"/>
      <c r="I45" s="1"/>
      <c r="J45" s="1"/>
      <c r="K45" s="1"/>
      <c r="L45" s="1"/>
      <c r="M45" s="1"/>
      <c r="N45" s="1"/>
      <c r="O45" s="1"/>
      <c r="P45" s="1"/>
      <c r="Q45" s="73" t="s">
        <v>90</v>
      </c>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5"/>
      <c r="BH45" s="1"/>
      <c r="BI45" s="1"/>
      <c r="BJ45" s="73"/>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5"/>
      <c r="DA45" s="1"/>
      <c r="DB45" s="1"/>
      <c r="DC45" s="1"/>
      <c r="DD45" s="1"/>
      <c r="DE45" s="1"/>
      <c r="DF45" s="1"/>
      <c r="DG45" s="1"/>
      <c r="DH45" s="1"/>
      <c r="DI45" s="1"/>
      <c r="DJ45" s="1"/>
      <c r="DK45" s="1"/>
      <c r="DL45" s="1"/>
      <c r="DM45" s="1"/>
      <c r="DN45" s="6"/>
      <c r="DO45" s="1"/>
      <c r="DP45" s="1">
        <v>1</v>
      </c>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256"/>
    </row>
    <row r="46" spans="1:162" ht="7.5" customHeight="1">
      <c r="A46" s="1"/>
      <c r="B46" s="1"/>
      <c r="C46" s="4"/>
      <c r="D46" s="1"/>
      <c r="E46" s="1"/>
      <c r="F46" s="1"/>
      <c r="G46" s="1"/>
      <c r="H46" s="1"/>
      <c r="I46" s="1"/>
      <c r="J46" s="1"/>
      <c r="K46" s="1"/>
      <c r="L46" s="1"/>
      <c r="M46" s="1"/>
      <c r="N46" s="1"/>
      <c r="O46" s="1"/>
      <c r="P46" s="1"/>
      <c r="Q46" s="283" t="str">
        <f>VLOOKUP("upcoming_hdr",langTable,MATCH(langName,_lang!$A$1:$F$1,0),FALSE())</f>
        <v xml:space="preserve"> &gt;&gt;&gt; UPCOMING</v>
      </c>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71"/>
      <c r="AW46" s="71"/>
      <c r="AX46" s="71"/>
      <c r="AY46" s="71"/>
      <c r="AZ46" s="71"/>
      <c r="BA46" s="71"/>
      <c r="BB46" s="71"/>
      <c r="BC46" s="71"/>
      <c r="BD46" s="71"/>
      <c r="BE46" s="71"/>
      <c r="BF46" s="71"/>
      <c r="BG46" s="76"/>
      <c r="BH46" s="1"/>
      <c r="BI46" s="1"/>
      <c r="BJ46" s="323" t="str">
        <f>VLOOKUP("big_hope_hdr",langTable,MATCH(langName,_lang!$A$1:$F$1,0),FALSE())</f>
        <v xml:space="preserve"> &gt;&gt;&gt; THE BIG HOPE</v>
      </c>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71"/>
      <c r="CP46" s="71"/>
      <c r="CQ46" s="71"/>
      <c r="CR46" s="71"/>
      <c r="CS46" s="71"/>
      <c r="CT46" s="71"/>
      <c r="CU46" s="71"/>
      <c r="CV46" s="71"/>
      <c r="CW46" s="71"/>
      <c r="CX46" s="71"/>
      <c r="CY46" s="71"/>
      <c r="CZ46" s="76"/>
      <c r="DA46" s="1"/>
      <c r="DB46" s="1"/>
      <c r="DC46" s="1"/>
      <c r="DD46" s="1"/>
      <c r="DE46" s="1"/>
      <c r="DF46" s="1"/>
      <c r="DG46" s="1"/>
      <c r="DH46" s="1"/>
      <c r="DI46" s="1"/>
      <c r="DJ46" s="1"/>
      <c r="DK46" s="1"/>
      <c r="DL46" s="1"/>
      <c r="DM46" s="1"/>
      <c r="DN46" s="6"/>
      <c r="DO46" s="1"/>
      <c r="DP46" s="1">
        <v>1</v>
      </c>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256"/>
    </row>
    <row r="47" spans="1:162" ht="7.5" customHeight="1">
      <c r="A47" s="1"/>
      <c r="B47" s="1"/>
      <c r="C47" s="4"/>
      <c r="D47" s="1"/>
      <c r="E47" s="1"/>
      <c r="F47" s="1"/>
      <c r="G47" s="1"/>
      <c r="H47" s="1"/>
      <c r="I47" s="1"/>
      <c r="J47" s="1"/>
      <c r="K47" s="1"/>
      <c r="L47" s="1"/>
      <c r="M47" s="1"/>
      <c r="N47" s="1"/>
      <c r="O47" s="1"/>
      <c r="P47" s="1"/>
      <c r="Q47" s="284"/>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71"/>
      <c r="AW47" s="71"/>
      <c r="AX47" s="71"/>
      <c r="AY47" s="71"/>
      <c r="AZ47" s="71"/>
      <c r="BA47" s="71"/>
      <c r="BB47" s="71"/>
      <c r="BC47" s="71"/>
      <c r="BD47" s="71"/>
      <c r="BE47" s="71"/>
      <c r="BF47" s="71"/>
      <c r="BG47" s="76"/>
      <c r="BH47" s="1"/>
      <c r="BI47" s="1"/>
      <c r="BJ47" s="284"/>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71"/>
      <c r="CP47" s="71"/>
      <c r="CQ47" s="71"/>
      <c r="CR47" s="71"/>
      <c r="CS47" s="71"/>
      <c r="CT47" s="71"/>
      <c r="CU47" s="71"/>
      <c r="CV47" s="71"/>
      <c r="CW47" s="71"/>
      <c r="CX47" s="71"/>
      <c r="CY47" s="71"/>
      <c r="CZ47" s="76"/>
      <c r="DA47" s="1"/>
      <c r="DB47" s="1"/>
      <c r="DC47" s="1"/>
      <c r="DD47" s="1"/>
      <c r="DE47" s="1"/>
      <c r="DF47" s="1"/>
      <c r="DG47" s="1"/>
      <c r="DH47" s="1"/>
      <c r="DI47" s="1"/>
      <c r="DJ47" s="1"/>
      <c r="DK47" s="1"/>
      <c r="DL47" s="1"/>
      <c r="DM47" s="1"/>
      <c r="DN47" s="6"/>
      <c r="DO47" s="1"/>
      <c r="DP47" s="1">
        <v>1</v>
      </c>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256"/>
    </row>
    <row r="48" spans="1:162" ht="7.5" customHeight="1">
      <c r="A48" s="1"/>
      <c r="B48" s="1"/>
      <c r="C48" s="4"/>
      <c r="D48" s="1"/>
      <c r="E48" s="1"/>
      <c r="F48" s="1"/>
      <c r="G48" s="1"/>
      <c r="H48" s="1"/>
      <c r="I48" s="1"/>
      <c r="J48" s="1"/>
      <c r="K48" s="1"/>
      <c r="L48" s="1"/>
      <c r="M48" s="1"/>
      <c r="N48" s="1"/>
      <c r="O48" s="1"/>
      <c r="P48" s="1"/>
      <c r="Q48" s="284"/>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71"/>
      <c r="AW48" s="71"/>
      <c r="AX48" s="71"/>
      <c r="AY48" s="71"/>
      <c r="AZ48" s="71"/>
      <c r="BA48" s="71"/>
      <c r="BB48" s="71"/>
      <c r="BC48" s="71"/>
      <c r="BD48" s="71"/>
      <c r="BE48" s="71"/>
      <c r="BF48" s="71"/>
      <c r="BG48" s="76"/>
      <c r="BH48" s="1"/>
      <c r="BI48" s="1"/>
      <c r="BJ48" s="284"/>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71"/>
      <c r="CP48" s="71"/>
      <c r="CQ48" s="71"/>
      <c r="CR48" s="71"/>
      <c r="CS48" s="71"/>
      <c r="CT48" s="71"/>
      <c r="CU48" s="71"/>
      <c r="CV48" s="71"/>
      <c r="CW48" s="71"/>
      <c r="CX48" s="71"/>
      <c r="CY48" s="71"/>
      <c r="CZ48" s="76"/>
      <c r="DA48" s="1"/>
      <c r="DB48" s="1"/>
      <c r="DC48" s="1"/>
      <c r="DD48" s="1"/>
      <c r="DE48" s="1"/>
      <c r="DF48" s="1"/>
      <c r="DG48" s="1"/>
      <c r="DH48" s="1"/>
      <c r="DI48" s="1"/>
      <c r="DJ48" s="1"/>
      <c r="DK48" s="1"/>
      <c r="DL48" s="1"/>
      <c r="DM48" s="1"/>
      <c r="DN48" s="6"/>
      <c r="DO48" s="1"/>
      <c r="DP48" s="1">
        <v>1</v>
      </c>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256"/>
    </row>
    <row r="49" spans="1:162" ht="7.5" customHeight="1">
      <c r="A49" s="1"/>
      <c r="B49" s="1"/>
      <c r="C49" s="4"/>
      <c r="D49" s="1"/>
      <c r="E49" s="1"/>
      <c r="F49" s="1"/>
      <c r="G49" s="1"/>
      <c r="H49" s="1"/>
      <c r="I49" s="1"/>
      <c r="J49" s="1"/>
      <c r="K49" s="1"/>
      <c r="L49" s="1"/>
      <c r="M49" s="1"/>
      <c r="N49" s="1"/>
      <c r="O49" s="1"/>
      <c r="P49" s="1"/>
      <c r="Q49" s="77"/>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6"/>
      <c r="BH49" s="1"/>
      <c r="BI49" s="1"/>
      <c r="BJ49" s="77"/>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6"/>
      <c r="DA49" s="1"/>
      <c r="DB49" s="1"/>
      <c r="DC49" s="1"/>
      <c r="DD49" s="1"/>
      <c r="DE49" s="1"/>
      <c r="DF49" s="1"/>
      <c r="DG49" s="1"/>
      <c r="DH49" s="1"/>
      <c r="DI49" s="1"/>
      <c r="DJ49" s="1"/>
      <c r="DK49" s="1"/>
      <c r="DL49" s="1"/>
      <c r="DM49" s="1"/>
      <c r="DN49" s="6"/>
      <c r="DO49" s="1"/>
      <c r="DP49" s="1">
        <v>1</v>
      </c>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256"/>
    </row>
    <row r="50" spans="1:162" ht="7.5" customHeight="1">
      <c r="A50" s="1"/>
      <c r="B50" s="1"/>
      <c r="C50" s="4"/>
      <c r="D50" s="1"/>
      <c r="E50" s="1"/>
      <c r="F50" s="1"/>
      <c r="G50" s="1"/>
      <c r="H50" s="1"/>
      <c r="I50" s="1"/>
      <c r="J50" s="1"/>
      <c r="K50" s="1"/>
      <c r="L50" s="1"/>
      <c r="M50" s="1"/>
      <c r="N50" s="1"/>
      <c r="O50" s="1"/>
      <c r="P50" s="1"/>
      <c r="Q50" s="77"/>
      <c r="R50" s="71"/>
      <c r="S50" s="71"/>
      <c r="T50" s="71"/>
      <c r="U50" s="71"/>
      <c r="V50" s="71"/>
      <c r="W50" s="71"/>
      <c r="X50" s="71"/>
      <c r="Y50" s="71"/>
      <c r="Z50" s="71"/>
      <c r="AA50" s="322" t="str">
        <f t="array" aca="1" ref="AA50" ca="1">""&amp;IFERROR(INDEX('Predictions &amp; Results'!$E$12:$E$115,MATCH(1,'Predictions &amp; Results'!$AA$12:$AA$115,0)),"")</f>
        <v>11 Jun</v>
      </c>
      <c r="AB50" s="267"/>
      <c r="AC50" s="267"/>
      <c r="AD50" s="267"/>
      <c r="AE50" s="267"/>
      <c r="AF50" s="267"/>
      <c r="AG50" s="81"/>
      <c r="AH50" s="306" t="str">
        <f t="array" aca="1" ref="AH50" ca="1">IFERROR(VLOOKUP(IFERROR(INDEX('Predictions &amp; Results'!$I$12:$I$115,MATCH(1,'Predictions &amp; Results'!$AA$12:$AA$115,0)),""),codesTable,2,FALSE()),"")&amp;"  v  "&amp;IFERROR(VLOOKUP(IFERROR(INDEX('Predictions &amp; Results'!$J$12:$J$115,MATCH(1,'Predictions &amp; Results'!$AA$12:$AA$115,0)),""),codesTable,2,FALSE()),"")</f>
        <v>🇲🇽 MEX  v  🇿🇦 RSA</v>
      </c>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76"/>
      <c r="BH50" s="1"/>
      <c r="BI50" s="1"/>
      <c r="BJ50" s="77"/>
      <c r="BK50" s="71"/>
      <c r="BL50" s="71"/>
      <c r="BM50" s="71"/>
      <c r="BN50" s="71"/>
      <c r="BO50" s="71"/>
      <c r="BP50" s="71"/>
      <c r="BQ50" s="71"/>
      <c r="BR50" s="71"/>
      <c r="BS50" s="71"/>
      <c r="BT50" s="282" t="str">
        <f>VLOOKUP("big_hope_l1",langTable,MATCH(langName,_lang!$A$1:$F$1,0),FALSE())</f>
        <v>If 0.00005% of fans gave £10 → £2,500</v>
      </c>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76"/>
      <c r="DA50" s="1"/>
      <c r="DB50" s="1"/>
      <c r="DC50" s="1"/>
      <c r="DD50" s="1"/>
      <c r="DE50" s="1"/>
      <c r="DF50" s="1"/>
      <c r="DG50" s="1"/>
      <c r="DH50" s="1"/>
      <c r="DI50" s="1"/>
      <c r="DJ50" s="1"/>
      <c r="DK50" s="1"/>
      <c r="DL50" s="1"/>
      <c r="DM50" s="1"/>
      <c r="DN50" s="6"/>
      <c r="DO50" s="1"/>
      <c r="DP50" s="1">
        <v>1</v>
      </c>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256"/>
    </row>
    <row r="51" spans="1:162" ht="7.5" customHeight="1">
      <c r="A51" s="1"/>
      <c r="B51" s="1"/>
      <c r="C51" s="4"/>
      <c r="D51" s="1"/>
      <c r="E51" s="1"/>
      <c r="F51" s="1"/>
      <c r="G51" s="1"/>
      <c r="H51" s="1"/>
      <c r="I51" s="1"/>
      <c r="J51" s="1"/>
      <c r="K51" s="1"/>
      <c r="L51" s="1"/>
      <c r="M51" s="1"/>
      <c r="N51" s="1"/>
      <c r="O51" s="1"/>
      <c r="P51" s="1"/>
      <c r="Q51" s="77"/>
      <c r="R51" s="71"/>
      <c r="S51" s="71"/>
      <c r="T51" s="71"/>
      <c r="U51" s="71"/>
      <c r="V51" s="71"/>
      <c r="W51" s="71"/>
      <c r="X51" s="71"/>
      <c r="Y51" s="71"/>
      <c r="Z51" s="71"/>
      <c r="AA51" s="267"/>
      <c r="AB51" s="267"/>
      <c r="AC51" s="267"/>
      <c r="AD51" s="267"/>
      <c r="AE51" s="267"/>
      <c r="AF51" s="267"/>
      <c r="AG51" s="81"/>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76"/>
      <c r="BH51" s="1"/>
      <c r="BI51" s="1"/>
      <c r="BJ51" s="77"/>
      <c r="BK51" s="71"/>
      <c r="BL51" s="71"/>
      <c r="BM51" s="71"/>
      <c r="BN51" s="71"/>
      <c r="BO51" s="71"/>
      <c r="BP51" s="71"/>
      <c r="BQ51" s="71"/>
      <c r="BR51" s="71"/>
      <c r="BS51" s="71"/>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76"/>
      <c r="DA51" s="1"/>
      <c r="DB51" s="1"/>
      <c r="DC51" s="1"/>
      <c r="DD51" s="1"/>
      <c r="DE51" s="1"/>
      <c r="DF51" s="1"/>
      <c r="DG51" s="1"/>
      <c r="DH51" s="1"/>
      <c r="DI51" s="1"/>
      <c r="DJ51" s="1"/>
      <c r="DK51" s="1"/>
      <c r="DL51" s="1"/>
      <c r="DM51" s="1"/>
      <c r="DN51" s="6"/>
      <c r="DO51" s="1"/>
      <c r="DP51" s="1">
        <v>1</v>
      </c>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256"/>
    </row>
    <row r="52" spans="1:162" ht="7.5" customHeight="1">
      <c r="A52" s="1"/>
      <c r="B52" s="1"/>
      <c r="C52" s="4"/>
      <c r="D52" s="1"/>
      <c r="E52" s="1"/>
      <c r="F52" s="1"/>
      <c r="G52" s="1"/>
      <c r="H52" s="1"/>
      <c r="I52" s="1"/>
      <c r="J52" s="1"/>
      <c r="K52" s="1"/>
      <c r="L52" s="1"/>
      <c r="M52" s="1"/>
      <c r="N52" s="1"/>
      <c r="O52" s="1"/>
      <c r="P52" s="1"/>
      <c r="Q52" s="77"/>
      <c r="R52" s="71"/>
      <c r="S52" s="71"/>
      <c r="T52" s="71"/>
      <c r="U52" s="71"/>
      <c r="V52" s="71"/>
      <c r="W52" s="71"/>
      <c r="X52" s="71"/>
      <c r="Y52" s="71"/>
      <c r="Z52" s="71"/>
      <c r="AA52" s="305"/>
      <c r="AB52" s="267"/>
      <c r="AC52" s="267"/>
      <c r="AD52" s="267"/>
      <c r="AE52" s="267"/>
      <c r="AF52" s="267"/>
      <c r="AG52" s="267"/>
      <c r="AH52" s="267"/>
      <c r="AI52" s="267"/>
      <c r="AJ52" s="267"/>
      <c r="AK52" s="267"/>
      <c r="AL52" s="267"/>
      <c r="AM52" s="267"/>
      <c r="AN52" s="267"/>
      <c r="AO52" s="267"/>
      <c r="AP52" s="267"/>
      <c r="AQ52" s="267"/>
      <c r="AR52" s="267"/>
      <c r="AS52" s="81"/>
      <c r="AT52" s="81"/>
      <c r="AU52" s="81"/>
      <c r="AV52" s="81"/>
      <c r="AW52" s="81"/>
      <c r="AX52" s="81"/>
      <c r="AY52" s="81"/>
      <c r="AZ52" s="81"/>
      <c r="BA52" s="81"/>
      <c r="BB52" s="81"/>
      <c r="BC52" s="81"/>
      <c r="BD52" s="81"/>
      <c r="BE52" s="81"/>
      <c r="BF52" s="81"/>
      <c r="BG52" s="76"/>
      <c r="BH52" s="1"/>
      <c r="BI52" s="1"/>
      <c r="BJ52" s="77"/>
      <c r="BK52" s="71"/>
      <c r="BL52" s="71"/>
      <c r="BM52" s="71"/>
      <c r="BN52" s="71"/>
      <c r="BO52" s="71"/>
      <c r="BP52" s="71"/>
      <c r="BQ52" s="71"/>
      <c r="BR52" s="71"/>
      <c r="BS52" s="7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76"/>
      <c r="DA52" s="1"/>
      <c r="DB52" s="1"/>
      <c r="DC52" s="1"/>
      <c r="DD52" s="1"/>
      <c r="DE52" s="1"/>
      <c r="DF52" s="1"/>
      <c r="DG52" s="1"/>
      <c r="DH52" s="1"/>
      <c r="DI52" s="1"/>
      <c r="DJ52" s="1"/>
      <c r="DK52" s="1"/>
      <c r="DL52" s="1"/>
      <c r="DM52" s="1"/>
      <c r="DN52" s="6"/>
      <c r="DO52" s="1"/>
      <c r="DP52" s="1">
        <v>1</v>
      </c>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256"/>
    </row>
    <row r="53" spans="1:162" ht="7.5" customHeight="1">
      <c r="A53" s="1"/>
      <c r="B53" s="1"/>
      <c r="C53" s="4"/>
      <c r="D53" s="1"/>
      <c r="E53" s="1"/>
      <c r="F53" s="1"/>
      <c r="G53" s="1"/>
      <c r="H53" s="1"/>
      <c r="I53" s="1"/>
      <c r="J53" s="1"/>
      <c r="K53" s="1"/>
      <c r="L53" s="1"/>
      <c r="M53" s="1"/>
      <c r="N53" s="1"/>
      <c r="O53" s="1"/>
      <c r="P53" s="1"/>
      <c r="Q53" s="77"/>
      <c r="R53" s="71"/>
      <c r="S53" s="71"/>
      <c r="T53" s="71"/>
      <c r="U53" s="71"/>
      <c r="V53" s="71"/>
      <c r="W53" s="71"/>
      <c r="X53" s="71"/>
      <c r="Y53" s="71"/>
      <c r="Z53" s="71"/>
      <c r="AA53" s="267"/>
      <c r="AB53" s="267"/>
      <c r="AC53" s="267"/>
      <c r="AD53" s="267"/>
      <c r="AE53" s="267"/>
      <c r="AF53" s="267"/>
      <c r="AG53" s="267"/>
      <c r="AH53" s="267"/>
      <c r="AI53" s="267"/>
      <c r="AJ53" s="267"/>
      <c r="AK53" s="267"/>
      <c r="AL53" s="267"/>
      <c r="AM53" s="267"/>
      <c r="AN53" s="267"/>
      <c r="AO53" s="267"/>
      <c r="AP53" s="267"/>
      <c r="AQ53" s="267"/>
      <c r="AR53" s="267"/>
      <c r="AS53" s="81"/>
      <c r="AT53" s="81"/>
      <c r="AU53" s="81"/>
      <c r="AV53" s="81"/>
      <c r="AW53" s="81"/>
      <c r="AX53" s="81"/>
      <c r="AY53" s="81"/>
      <c r="AZ53" s="81"/>
      <c r="BA53" s="81"/>
      <c r="BB53" s="81"/>
      <c r="BC53" s="81"/>
      <c r="BD53" s="81"/>
      <c r="BE53" s="81"/>
      <c r="BF53" s="81"/>
      <c r="BG53" s="76"/>
      <c r="BH53" s="1"/>
      <c r="BI53" s="1"/>
      <c r="BJ53" s="77"/>
      <c r="BK53" s="71"/>
      <c r="BL53" s="71"/>
      <c r="BM53" s="71"/>
      <c r="BN53" s="71"/>
      <c r="BO53" s="71"/>
      <c r="BP53" s="71"/>
      <c r="BQ53" s="71"/>
      <c r="BR53" s="71"/>
      <c r="BS53" s="71"/>
      <c r="BT53" s="281" t="str">
        <f>VLOOKUP("big_hope_l11",langTable,MATCH(langName,_lang!$A$1:$F$1,0),FALSE())</f>
        <v>If 0.00002% gave £5 → £5,000</v>
      </c>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76"/>
      <c r="DA53" s="1"/>
      <c r="DB53" s="1"/>
      <c r="DC53" s="1"/>
      <c r="DD53" s="1"/>
      <c r="DE53" s="1"/>
      <c r="DF53" s="1"/>
      <c r="DG53" s="1"/>
      <c r="DH53" s="1"/>
      <c r="DI53" s="1"/>
      <c r="DJ53" s="1"/>
      <c r="DK53" s="1"/>
      <c r="DL53" s="1"/>
      <c r="DM53" s="1"/>
      <c r="DN53" s="6"/>
      <c r="DO53" s="1"/>
      <c r="DP53" s="1">
        <v>1</v>
      </c>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256"/>
    </row>
    <row r="54" spans="1:162" ht="7.5" customHeight="1">
      <c r="A54" s="1"/>
      <c r="B54" s="1"/>
      <c r="C54" s="4"/>
      <c r="D54" s="1"/>
      <c r="E54" s="1"/>
      <c r="F54" s="1"/>
      <c r="G54" s="1"/>
      <c r="H54" s="1"/>
      <c r="I54" s="1"/>
      <c r="J54" s="1"/>
      <c r="K54" s="1"/>
      <c r="L54" s="1"/>
      <c r="M54" s="1"/>
      <c r="N54" s="1"/>
      <c r="O54" s="1"/>
      <c r="P54" s="1"/>
      <c r="Q54" s="77"/>
      <c r="R54" s="71"/>
      <c r="S54" s="71"/>
      <c r="T54" s="71"/>
      <c r="U54" s="71"/>
      <c r="V54" s="71"/>
      <c r="W54" s="71"/>
      <c r="X54" s="71"/>
      <c r="Y54" s="71"/>
      <c r="Z54" s="7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76"/>
      <c r="BH54" s="1"/>
      <c r="BI54" s="1"/>
      <c r="BJ54" s="77"/>
      <c r="BK54" s="71"/>
      <c r="BL54" s="71"/>
      <c r="BM54" s="71"/>
      <c r="BN54" s="71"/>
      <c r="BO54" s="71"/>
      <c r="BP54" s="71"/>
      <c r="BQ54" s="71"/>
      <c r="BR54" s="71"/>
      <c r="BS54" s="71"/>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76"/>
      <c r="DA54" s="1"/>
      <c r="DB54" s="1"/>
      <c r="DC54" s="1"/>
      <c r="DD54" s="1"/>
      <c r="DE54" s="1"/>
      <c r="DF54" s="1"/>
      <c r="DG54" s="1"/>
      <c r="DH54" s="1"/>
      <c r="DI54" s="1"/>
      <c r="DJ54" s="1"/>
      <c r="DK54" s="1"/>
      <c r="DL54" s="1"/>
      <c r="DM54" s="1"/>
      <c r="DN54" s="6"/>
      <c r="DO54" s="1"/>
      <c r="DP54" s="1">
        <v>1</v>
      </c>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256"/>
    </row>
    <row r="55" spans="1:162" ht="7.5" customHeight="1">
      <c r="A55" s="1"/>
      <c r="B55" s="1"/>
      <c r="C55" s="4"/>
      <c r="D55" s="1"/>
      <c r="E55" s="1"/>
      <c r="F55" s="1"/>
      <c r="G55" s="1"/>
      <c r="H55" s="1"/>
      <c r="I55" s="1"/>
      <c r="J55" s="1"/>
      <c r="K55" s="1"/>
      <c r="L55" s="1"/>
      <c r="M55" s="1"/>
      <c r="N55" s="1"/>
      <c r="O55" s="1"/>
      <c r="P55" s="1"/>
      <c r="Q55" s="77"/>
      <c r="R55" s="71"/>
      <c r="S55" s="71"/>
      <c r="T55" s="71"/>
      <c r="U55" s="71"/>
      <c r="V55" s="71"/>
      <c r="W55" s="71"/>
      <c r="X55" s="71"/>
      <c r="Y55" s="71"/>
      <c r="Z55" s="71"/>
      <c r="AA55" s="325" t="str">
        <f t="array" aca="1" ref="AA55" ca="1">""&amp;IFERROR(INDEX('Predictions &amp; Results'!$E$12:$E$115,MATCH(2,'Predictions &amp; Results'!$AA$12:$AA$115,0)),"")</f>
        <v>12 Jun</v>
      </c>
      <c r="AB55" s="267"/>
      <c r="AC55" s="267"/>
      <c r="AD55" s="267"/>
      <c r="AE55" s="267"/>
      <c r="AF55" s="267"/>
      <c r="AG55" s="81"/>
      <c r="AH55" s="306" t="str">
        <f t="array" aca="1" ref="AH55" ca="1">IFERROR(VLOOKUP(IFERROR(INDEX('Predictions &amp; Results'!$I$12:$I$115,MATCH(2,'Predictions &amp; Results'!$AA$12:$AA$115,0)),""),codesTable,2,FALSE()),"")&amp;"  v  "&amp;IFERROR(VLOOKUP(IFERROR(INDEX('Predictions &amp; Results'!$J$12:$J$115,MATCH(2,'Predictions &amp; Results'!$AA$12:$AA$115,0)),""),codesTable,2,FALSE()),"")</f>
        <v>🇰🇷 KOR  v  🇨🇿 CZE</v>
      </c>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76"/>
      <c r="BH55" s="1"/>
      <c r="BI55" s="1"/>
      <c r="BJ55" s="77"/>
      <c r="BK55" s="71"/>
      <c r="BL55" s="71"/>
      <c r="BM55" s="71"/>
      <c r="BN55" s="71"/>
      <c r="BO55" s="71"/>
      <c r="BP55" s="71"/>
      <c r="BQ55" s="71"/>
      <c r="BR55" s="71"/>
      <c r="BS55" s="7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76"/>
      <c r="DA55" s="1"/>
      <c r="DB55" s="1"/>
      <c r="DC55" s="1"/>
      <c r="DD55" s="1"/>
      <c r="DE55" s="1"/>
      <c r="DF55" s="1"/>
      <c r="DG55" s="1"/>
      <c r="DH55" s="1"/>
      <c r="DI55" s="1"/>
      <c r="DJ55" s="1"/>
      <c r="DK55" s="1"/>
      <c r="DL55" s="1"/>
      <c r="DM55" s="1"/>
      <c r="DN55" s="6"/>
      <c r="DO55" s="1"/>
      <c r="DP55" s="1">
        <v>1</v>
      </c>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256"/>
    </row>
    <row r="56" spans="1:162" ht="7.5" customHeight="1">
      <c r="A56" s="1"/>
      <c r="B56" s="1"/>
      <c r="C56" s="4"/>
      <c r="D56" s="1"/>
      <c r="E56" s="1"/>
      <c r="F56" s="1"/>
      <c r="G56" s="1"/>
      <c r="H56" s="1"/>
      <c r="I56" s="1"/>
      <c r="J56" s="1"/>
      <c r="K56" s="1"/>
      <c r="L56" s="1"/>
      <c r="M56" s="1"/>
      <c r="N56" s="1"/>
      <c r="O56" s="1"/>
      <c r="P56" s="1"/>
      <c r="Q56" s="77"/>
      <c r="R56" s="71"/>
      <c r="S56" s="71"/>
      <c r="T56" s="71"/>
      <c r="U56" s="71"/>
      <c r="V56" s="71"/>
      <c r="W56" s="71"/>
      <c r="X56" s="71"/>
      <c r="Y56" s="71"/>
      <c r="Z56" s="71"/>
      <c r="AA56" s="267"/>
      <c r="AB56" s="267"/>
      <c r="AC56" s="267"/>
      <c r="AD56" s="267"/>
      <c r="AE56" s="267"/>
      <c r="AF56" s="267"/>
      <c r="AG56" s="81"/>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76"/>
      <c r="BH56" s="1"/>
      <c r="BI56" s="1"/>
      <c r="BJ56" s="77"/>
      <c r="BK56" s="71"/>
      <c r="BL56" s="71"/>
      <c r="BM56" s="71"/>
      <c r="BN56" s="71"/>
      <c r="BO56" s="71"/>
      <c r="BP56" s="71"/>
      <c r="BQ56" s="71"/>
      <c r="BR56" s="71"/>
      <c r="BS56" s="71"/>
      <c r="BT56" s="281" t="str">
        <f>VLOOKUP("big_hope_l2",langTable,MATCH(langName,_lang!$A$1:$F$1,0),FALSE())</f>
        <v>If 0.02% gave £1 → £1,000,000</v>
      </c>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76"/>
      <c r="DA56" s="1"/>
      <c r="DB56" s="1"/>
      <c r="DC56" s="1"/>
      <c r="DD56" s="1"/>
      <c r="DE56" s="1"/>
      <c r="DF56" s="1"/>
      <c r="DG56" s="1"/>
      <c r="DH56" s="1"/>
      <c r="DI56" s="1"/>
      <c r="DJ56" s="1"/>
      <c r="DK56" s="1"/>
      <c r="DL56" s="1"/>
      <c r="DM56" s="1"/>
      <c r="DN56" s="6"/>
      <c r="DO56" s="1"/>
      <c r="DP56" s="1">
        <v>1</v>
      </c>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256"/>
    </row>
    <row r="57" spans="1:162" ht="7.5" customHeight="1">
      <c r="A57" s="1"/>
      <c r="B57" s="1"/>
      <c r="C57" s="4"/>
      <c r="D57" s="1"/>
      <c r="E57" s="1"/>
      <c r="F57" s="1"/>
      <c r="G57" s="1"/>
      <c r="H57" s="1"/>
      <c r="I57" s="1"/>
      <c r="J57" s="1"/>
      <c r="K57" s="1"/>
      <c r="L57" s="1"/>
      <c r="M57" s="1"/>
      <c r="N57" s="1"/>
      <c r="O57" s="1"/>
      <c r="P57" s="1"/>
      <c r="Q57" s="77"/>
      <c r="R57" s="71"/>
      <c r="S57" s="71"/>
      <c r="T57" s="71"/>
      <c r="U57" s="71"/>
      <c r="V57" s="71"/>
      <c r="W57" s="71"/>
      <c r="X57" s="71"/>
      <c r="Y57" s="71"/>
      <c r="Z57" s="71"/>
      <c r="AA57" s="315"/>
      <c r="AB57" s="267"/>
      <c r="AC57" s="267"/>
      <c r="AD57" s="267"/>
      <c r="AE57" s="267"/>
      <c r="AF57" s="267"/>
      <c r="AG57" s="267"/>
      <c r="AH57" s="267"/>
      <c r="AI57" s="267"/>
      <c r="AJ57" s="267"/>
      <c r="AK57" s="267"/>
      <c r="AL57" s="267"/>
      <c r="AM57" s="267"/>
      <c r="AN57" s="267"/>
      <c r="AO57" s="267"/>
      <c r="AP57" s="267"/>
      <c r="AQ57" s="267"/>
      <c r="AR57" s="267"/>
      <c r="AS57" s="72"/>
      <c r="AT57" s="72"/>
      <c r="AU57" s="72"/>
      <c r="AV57" s="72"/>
      <c r="AW57" s="72"/>
      <c r="AX57" s="72"/>
      <c r="AY57" s="72"/>
      <c r="AZ57" s="72"/>
      <c r="BA57" s="72"/>
      <c r="BB57" s="72"/>
      <c r="BC57" s="72"/>
      <c r="BD57" s="72"/>
      <c r="BE57" s="72"/>
      <c r="BF57" s="72"/>
      <c r="BG57" s="76"/>
      <c r="BH57" s="1"/>
      <c r="BI57" s="1"/>
      <c r="BJ57" s="77"/>
      <c r="BK57" s="71"/>
      <c r="BL57" s="71"/>
      <c r="BM57" s="71"/>
      <c r="BN57" s="71"/>
      <c r="BO57" s="71"/>
      <c r="BP57" s="71"/>
      <c r="BQ57" s="71"/>
      <c r="BR57" s="71"/>
      <c r="BS57" s="71"/>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76"/>
      <c r="DA57" s="1"/>
      <c r="DB57" s="1"/>
      <c r="DC57" s="1"/>
      <c r="DD57" s="1"/>
      <c r="DE57" s="1"/>
      <c r="DF57" s="1"/>
      <c r="DG57" s="1"/>
      <c r="DH57" s="1"/>
      <c r="DI57" s="1"/>
      <c r="DJ57" s="1"/>
      <c r="DK57" s="1"/>
      <c r="DL57" s="1"/>
      <c r="DM57" s="1"/>
      <c r="DN57" s="6"/>
      <c r="DO57" s="1"/>
      <c r="DP57" s="1">
        <v>1</v>
      </c>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256"/>
    </row>
    <row r="58" spans="1:162" ht="7.5" customHeight="1">
      <c r="A58" s="1"/>
      <c r="B58" s="1"/>
      <c r="C58" s="4"/>
      <c r="D58" s="1"/>
      <c r="E58" s="1"/>
      <c r="F58" s="1"/>
      <c r="G58" s="1"/>
      <c r="H58" s="1"/>
      <c r="I58" s="1"/>
      <c r="J58" s="1"/>
      <c r="K58" s="1"/>
      <c r="L58" s="1"/>
      <c r="M58" s="1"/>
      <c r="N58" s="1"/>
      <c r="O58" s="1"/>
      <c r="P58" s="1"/>
      <c r="Q58" s="77"/>
      <c r="R58" s="71"/>
      <c r="S58" s="71"/>
      <c r="T58" s="71"/>
      <c r="U58" s="71"/>
      <c r="V58" s="71"/>
      <c r="W58" s="71"/>
      <c r="X58" s="71"/>
      <c r="Y58" s="71"/>
      <c r="Z58" s="71"/>
      <c r="AA58" s="267"/>
      <c r="AB58" s="267"/>
      <c r="AC58" s="267"/>
      <c r="AD58" s="267"/>
      <c r="AE58" s="267"/>
      <c r="AF58" s="267"/>
      <c r="AG58" s="267"/>
      <c r="AH58" s="267"/>
      <c r="AI58" s="267"/>
      <c r="AJ58" s="267"/>
      <c r="AK58" s="267"/>
      <c r="AL58" s="267"/>
      <c r="AM58" s="267"/>
      <c r="AN58" s="267"/>
      <c r="AO58" s="267"/>
      <c r="AP58" s="267"/>
      <c r="AQ58" s="267"/>
      <c r="AR58" s="267"/>
      <c r="AS58" s="72"/>
      <c r="AT58" s="72"/>
      <c r="AU58" s="72"/>
      <c r="AV58" s="72"/>
      <c r="AW58" s="72"/>
      <c r="AX58" s="72"/>
      <c r="AY58" s="72"/>
      <c r="AZ58" s="72"/>
      <c r="BA58" s="72"/>
      <c r="BB58" s="72"/>
      <c r="BC58" s="72"/>
      <c r="BD58" s="72"/>
      <c r="BE58" s="72"/>
      <c r="BF58" s="72"/>
      <c r="BG58" s="76"/>
      <c r="BH58" s="1"/>
      <c r="BI58" s="1"/>
      <c r="BJ58" s="77"/>
      <c r="BK58" s="71"/>
      <c r="BL58" s="71"/>
      <c r="BM58" s="71"/>
      <c r="BN58" s="71"/>
      <c r="BO58" s="71"/>
      <c r="BP58" s="71"/>
      <c r="BQ58" s="71"/>
      <c r="BR58" s="71"/>
      <c r="BS58" s="7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76"/>
      <c r="DA58" s="1"/>
      <c r="DB58" s="1"/>
      <c r="DC58" s="1"/>
      <c r="DD58" s="1"/>
      <c r="DE58" s="1"/>
      <c r="DF58" s="1"/>
      <c r="DG58" s="1"/>
      <c r="DH58" s="1"/>
      <c r="DI58" s="1"/>
      <c r="DJ58" s="1"/>
      <c r="DK58" s="1"/>
      <c r="DL58" s="1"/>
      <c r="DM58" s="1"/>
      <c r="DN58" s="6"/>
      <c r="DO58" s="1"/>
      <c r="DP58" s="1">
        <v>1</v>
      </c>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256"/>
    </row>
    <row r="59" spans="1:162" ht="7.5" customHeight="1">
      <c r="A59" s="1"/>
      <c r="B59" s="1"/>
      <c r="C59" s="4"/>
      <c r="D59" s="1"/>
      <c r="E59" s="1"/>
      <c r="F59" s="1"/>
      <c r="G59" s="1"/>
      <c r="H59" s="1"/>
      <c r="I59" s="1"/>
      <c r="J59" s="1"/>
      <c r="K59" s="1"/>
      <c r="L59" s="1"/>
      <c r="M59" s="1"/>
      <c r="N59" s="1"/>
      <c r="O59" s="1"/>
      <c r="P59" s="1"/>
      <c r="Q59" s="77"/>
      <c r="R59" s="71"/>
      <c r="S59" s="71"/>
      <c r="T59" s="71"/>
      <c r="U59" s="71"/>
      <c r="V59" s="71"/>
      <c r="W59" s="71"/>
      <c r="X59" s="71"/>
      <c r="Y59" s="71"/>
      <c r="Z59" s="71"/>
      <c r="AA59" s="296"/>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76"/>
      <c r="BH59" s="1"/>
      <c r="BI59" s="1"/>
      <c r="BJ59" s="77"/>
      <c r="BK59" s="71"/>
      <c r="BL59" s="71"/>
      <c r="BM59" s="71"/>
      <c r="BN59" s="71"/>
      <c r="BO59" s="71"/>
      <c r="BP59" s="71"/>
      <c r="BQ59" s="71"/>
      <c r="BR59" s="71"/>
      <c r="BS59" s="71"/>
      <c r="BT59" s="314"/>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76"/>
      <c r="DA59" s="1"/>
      <c r="DB59" s="1"/>
      <c r="DC59" s="1"/>
      <c r="DD59" s="1"/>
      <c r="DE59" s="1"/>
      <c r="DF59" s="1"/>
      <c r="DG59" s="1"/>
      <c r="DH59" s="1"/>
      <c r="DI59" s="1"/>
      <c r="DJ59" s="1"/>
      <c r="DK59" s="1"/>
      <c r="DL59" s="1"/>
      <c r="DM59" s="1"/>
      <c r="DN59" s="6"/>
      <c r="DO59" s="1"/>
      <c r="DP59" s="1">
        <v>1</v>
      </c>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256"/>
    </row>
    <row r="60" spans="1:162" ht="7.5" customHeight="1">
      <c r="A60" s="1"/>
      <c r="B60" s="1"/>
      <c r="C60" s="4"/>
      <c r="D60" s="1"/>
      <c r="E60" s="1"/>
      <c r="F60" s="1"/>
      <c r="G60" s="1"/>
      <c r="H60" s="1"/>
      <c r="I60" s="1"/>
      <c r="J60" s="1"/>
      <c r="K60" s="1"/>
      <c r="L60" s="1"/>
      <c r="M60" s="1"/>
      <c r="N60" s="1"/>
      <c r="O60" s="1"/>
      <c r="P60" s="1"/>
      <c r="Q60" s="77"/>
      <c r="R60" s="71"/>
      <c r="S60" s="71"/>
      <c r="T60" s="71"/>
      <c r="U60" s="71"/>
      <c r="V60" s="71"/>
      <c r="W60" s="71"/>
      <c r="X60" s="71"/>
      <c r="Y60" s="71"/>
      <c r="Z60" s="71"/>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76"/>
      <c r="BH60" s="1"/>
      <c r="BI60" s="1"/>
      <c r="BJ60" s="77"/>
      <c r="BK60" s="71"/>
      <c r="BL60" s="71"/>
      <c r="BM60" s="71"/>
      <c r="BN60" s="71"/>
      <c r="BO60" s="71"/>
      <c r="BP60" s="71"/>
      <c r="BQ60" s="71"/>
      <c r="BR60" s="71"/>
      <c r="BS60" s="71"/>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76"/>
      <c r="DA60" s="1"/>
      <c r="DB60" s="1"/>
      <c r="DC60" s="1"/>
      <c r="DD60" s="1"/>
      <c r="DE60" s="1"/>
      <c r="DF60" s="1"/>
      <c r="DG60" s="1"/>
      <c r="DH60" s="1"/>
      <c r="DI60" s="1"/>
      <c r="DJ60" s="1"/>
      <c r="DK60" s="1"/>
      <c r="DL60" s="1"/>
      <c r="DM60" s="1"/>
      <c r="DN60" s="6"/>
      <c r="DO60" s="1"/>
      <c r="DP60" s="1">
        <v>1</v>
      </c>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256"/>
    </row>
    <row r="61" spans="1:162" ht="7.5" customHeight="1">
      <c r="A61" s="1"/>
      <c r="B61" s="1"/>
      <c r="C61" s="4"/>
      <c r="D61" s="1"/>
      <c r="E61" s="1"/>
      <c r="F61" s="1"/>
      <c r="G61" s="1"/>
      <c r="H61" s="1"/>
      <c r="I61" s="1"/>
      <c r="J61" s="1"/>
      <c r="K61" s="1"/>
      <c r="L61" s="1"/>
      <c r="M61" s="1"/>
      <c r="N61" s="1"/>
      <c r="O61" s="1"/>
      <c r="P61" s="1"/>
      <c r="Q61" s="77"/>
      <c r="R61" s="71"/>
      <c r="S61" s="71"/>
      <c r="T61" s="71"/>
      <c r="U61" s="71"/>
      <c r="V61" s="71"/>
      <c r="W61" s="71"/>
      <c r="X61" s="71"/>
      <c r="Y61" s="71"/>
      <c r="Z61" s="71"/>
      <c r="AA61" s="304" t="str">
        <f>VLOOKUP("full_fixtures",langTable,MATCH(langName,_lang!$A$1:$F$1,0),FALSE())</f>
        <v>Full fixtures in Daily Schedule 🤓</v>
      </c>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76"/>
      <c r="BH61" s="1"/>
      <c r="BI61" s="1"/>
      <c r="BJ61" s="77"/>
      <c r="BK61" s="71"/>
      <c r="BL61" s="71"/>
      <c r="BM61" s="71"/>
      <c r="BN61" s="71"/>
      <c r="BO61" s="71"/>
      <c r="BP61" s="71"/>
      <c r="BQ61" s="71"/>
      <c r="BR61" s="71"/>
      <c r="BS61" s="71"/>
      <c r="BT61" s="304" t="str">
        <f>VLOOKUP("every_donation",langTable,MATCH(langName,_lang!$A$1:$F$1,0),FALSE())</f>
        <v>Every donation makes a difference 🙏</v>
      </c>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76"/>
      <c r="DA61" s="1"/>
      <c r="DB61" s="1"/>
      <c r="DC61" s="1"/>
      <c r="DD61" s="1"/>
      <c r="DE61" s="1"/>
      <c r="DF61" s="1"/>
      <c r="DG61" s="1"/>
      <c r="DH61" s="1"/>
      <c r="DI61" s="1"/>
      <c r="DJ61" s="1"/>
      <c r="DK61" s="1"/>
      <c r="DL61" s="1"/>
      <c r="DM61" s="1"/>
      <c r="DN61" s="6"/>
      <c r="DO61" s="1"/>
      <c r="DP61" s="1">
        <v>1</v>
      </c>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256"/>
    </row>
    <row r="62" spans="1:162" ht="12" customHeight="1">
      <c r="A62" s="1"/>
      <c r="B62" s="1"/>
      <c r="C62" s="4"/>
      <c r="D62" s="1"/>
      <c r="E62" s="1"/>
      <c r="F62" s="1"/>
      <c r="G62" s="1"/>
      <c r="H62" s="1"/>
      <c r="I62" s="1"/>
      <c r="J62" s="1"/>
      <c r="K62" s="1"/>
      <c r="L62" s="1"/>
      <c r="M62" s="1"/>
      <c r="N62" s="1"/>
      <c r="O62" s="1"/>
      <c r="P62" s="1"/>
      <c r="Q62" s="77"/>
      <c r="R62" s="71"/>
      <c r="S62" s="71"/>
      <c r="T62" s="71"/>
      <c r="U62" s="71"/>
      <c r="V62" s="71"/>
      <c r="W62" s="71"/>
      <c r="X62" s="71"/>
      <c r="Y62" s="71"/>
      <c r="Z62" s="71"/>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76"/>
      <c r="BH62" s="1"/>
      <c r="BI62" s="1"/>
      <c r="BJ62" s="77"/>
      <c r="BK62" s="71"/>
      <c r="BL62" s="71"/>
      <c r="BM62" s="71"/>
      <c r="BN62" s="71"/>
      <c r="BO62" s="71"/>
      <c r="BP62" s="71"/>
      <c r="BQ62" s="71"/>
      <c r="BR62" s="71"/>
      <c r="BS62" s="71"/>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76"/>
      <c r="DA62" s="1"/>
      <c r="DB62" s="1"/>
      <c r="DC62" s="1"/>
      <c r="DD62" s="1"/>
      <c r="DE62" s="1"/>
      <c r="DF62" s="1"/>
      <c r="DG62" s="1"/>
      <c r="DH62" s="1"/>
      <c r="DI62" s="1"/>
      <c r="DJ62" s="1"/>
      <c r="DK62" s="1"/>
      <c r="DL62" s="1"/>
      <c r="DM62" s="1"/>
      <c r="DN62" s="6"/>
      <c r="DO62" s="1"/>
      <c r="DP62" s="1">
        <v>1</v>
      </c>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256"/>
    </row>
    <row r="63" spans="1:162" ht="7.5" customHeight="1">
      <c r="A63" s="1"/>
      <c r="B63" s="1"/>
      <c r="C63" s="4"/>
      <c r="D63" s="1"/>
      <c r="E63" s="1"/>
      <c r="F63" s="1"/>
      <c r="G63" s="1"/>
      <c r="H63" s="1"/>
      <c r="I63" s="1"/>
      <c r="J63" s="1"/>
      <c r="K63" s="1"/>
      <c r="L63" s="1"/>
      <c r="M63" s="1"/>
      <c r="N63" s="1"/>
      <c r="O63" s="1"/>
      <c r="P63" s="1"/>
      <c r="Q63" s="78"/>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80"/>
      <c r="BH63" s="1"/>
      <c r="BI63" s="1"/>
      <c r="BJ63" s="78"/>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80"/>
      <c r="DA63" s="1"/>
      <c r="DB63" s="1"/>
      <c r="DC63" s="1"/>
      <c r="DD63" s="1"/>
      <c r="DE63" s="1"/>
      <c r="DF63" s="1"/>
      <c r="DG63" s="1"/>
      <c r="DH63" s="1"/>
      <c r="DI63" s="1"/>
      <c r="DJ63" s="1"/>
      <c r="DK63" s="1"/>
      <c r="DL63" s="1"/>
      <c r="DM63" s="1"/>
      <c r="DN63" s="6"/>
      <c r="DO63" s="1"/>
      <c r="DP63" s="1">
        <v>1</v>
      </c>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256"/>
    </row>
    <row r="64" spans="1:162" ht="7.5" customHeight="1">
      <c r="A64" s="1"/>
      <c r="B64" s="1"/>
      <c r="C64" s="4"/>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6"/>
      <c r="DO64" s="1"/>
      <c r="DP64" s="1">
        <v>1</v>
      </c>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256"/>
    </row>
    <row r="65" spans="1:162" ht="7.5" customHeight="1">
      <c r="A65" s="1"/>
      <c r="B65" s="1"/>
      <c r="C65" s="4"/>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6"/>
      <c r="DO65" s="1"/>
      <c r="DP65" s="1">
        <v>1</v>
      </c>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256"/>
    </row>
    <row r="66" spans="1:162" ht="7.5" customHeight="1">
      <c r="A66" s="1"/>
      <c r="B66" s="1"/>
      <c r="C66" s="4"/>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6"/>
      <c r="DO66" s="1"/>
      <c r="DP66" s="1">
        <v>1</v>
      </c>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256"/>
    </row>
    <row r="67" spans="1:162" ht="7.5" customHeight="1">
      <c r="A67" s="1"/>
      <c r="B67" s="1"/>
      <c r="C67" s="4"/>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6"/>
      <c r="DO67" s="1"/>
      <c r="DP67" s="1">
        <v>1</v>
      </c>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256"/>
    </row>
    <row r="68" spans="1:162" ht="7.5" customHeight="1">
      <c r="A68" s="1"/>
      <c r="B68" s="1"/>
      <c r="C68" s="4"/>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0" t="s">
        <v>91</v>
      </c>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6"/>
      <c r="DO68" s="1"/>
      <c r="DP68" s="1">
        <v>1</v>
      </c>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256"/>
    </row>
    <row r="69" spans="1:162" ht="7.5" customHeight="1">
      <c r="A69" s="1"/>
      <c r="B69" s="1"/>
      <c r="C69" s="4"/>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6"/>
      <c r="DO69" s="1"/>
      <c r="DP69" s="1">
        <v>1</v>
      </c>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256"/>
    </row>
    <row r="70" spans="1:162" ht="7.5" customHeight="1">
      <c r="A70" s="1"/>
      <c r="B70" s="1"/>
      <c r="C70" s="4"/>
      <c r="D70" s="1"/>
      <c r="E70" s="1"/>
      <c r="F70" s="1"/>
      <c r="G70" s="1"/>
      <c r="H70" s="1"/>
      <c r="I70" s="1"/>
      <c r="J70" s="1"/>
      <c r="K70" s="1"/>
      <c r="L70" s="1"/>
      <c r="M70" s="1"/>
      <c r="N70" s="1"/>
      <c r="O70" s="1"/>
      <c r="P70" s="1"/>
      <c r="Q70" s="73"/>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5"/>
      <c r="DA70" s="1"/>
      <c r="DB70" s="1"/>
      <c r="DC70" s="1"/>
      <c r="DD70" s="1"/>
      <c r="DE70" s="1"/>
      <c r="DF70" s="1"/>
      <c r="DG70" s="1"/>
      <c r="DH70" s="1"/>
      <c r="DI70" s="1"/>
      <c r="DJ70" s="1"/>
      <c r="DK70" s="1"/>
      <c r="DL70" s="1"/>
      <c r="DM70" s="1"/>
      <c r="DN70" s="6"/>
      <c r="DO70" s="1"/>
      <c r="DP70" s="1">
        <v>1</v>
      </c>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256"/>
    </row>
    <row r="71" spans="1:162" ht="7.5" customHeight="1">
      <c r="A71" s="1"/>
      <c r="B71" s="1"/>
      <c r="C71" s="4"/>
      <c r="D71" s="1"/>
      <c r="E71" s="1"/>
      <c r="F71" s="1"/>
      <c r="G71" s="1"/>
      <c r="H71" s="1"/>
      <c r="I71" s="1"/>
      <c r="J71" s="1"/>
      <c r="K71" s="1"/>
      <c r="L71" s="1"/>
      <c r="M71" s="1"/>
      <c r="N71" s="1"/>
      <c r="O71" s="1"/>
      <c r="P71" s="1"/>
      <c r="Q71" s="283" t="str">
        <f>VLOOKUP("tc_title",langTable,MATCH(langName,_lang!$A$1:$F$1,0),FALSE())</f>
        <v xml:space="preserve"> &gt;&gt;&gt; THE CAUSE</v>
      </c>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6"/>
      <c r="DA71" s="1"/>
      <c r="DB71" s="1"/>
      <c r="DC71" s="1"/>
      <c r="DD71" s="1"/>
      <c r="DE71" s="1"/>
      <c r="DF71" s="1"/>
      <c r="DG71" s="1"/>
      <c r="DH71" s="1"/>
      <c r="DI71" s="1"/>
      <c r="DJ71" s="1"/>
      <c r="DK71" s="1"/>
      <c r="DL71" s="1"/>
      <c r="DM71" s="1"/>
      <c r="DN71" s="6"/>
      <c r="DO71" s="1"/>
      <c r="DP71" s="1">
        <v>1</v>
      </c>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256"/>
    </row>
    <row r="72" spans="1:162" ht="7.5" customHeight="1">
      <c r="A72" s="1"/>
      <c r="B72" s="1"/>
      <c r="C72" s="4"/>
      <c r="D72" s="1"/>
      <c r="E72" s="1"/>
      <c r="F72" s="1"/>
      <c r="G72" s="1"/>
      <c r="H72" s="1"/>
      <c r="I72" s="1"/>
      <c r="J72" s="1"/>
      <c r="K72" s="1"/>
      <c r="L72" s="1"/>
      <c r="M72" s="1"/>
      <c r="N72" s="1"/>
      <c r="O72" s="1"/>
      <c r="P72" s="1"/>
      <c r="Q72" s="284"/>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302"/>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76"/>
      <c r="DA72" s="1"/>
      <c r="DB72" s="1"/>
      <c r="DC72" s="1"/>
      <c r="DD72" s="1"/>
      <c r="DE72" s="1"/>
      <c r="DF72" s="1"/>
      <c r="DG72" s="1"/>
      <c r="DH72" s="1"/>
      <c r="DI72" s="1"/>
      <c r="DJ72" s="1"/>
      <c r="DK72" s="1"/>
      <c r="DL72" s="1"/>
      <c r="DM72" s="1"/>
      <c r="DN72" s="6"/>
      <c r="DO72" s="1"/>
      <c r="DP72" s="1">
        <v>1</v>
      </c>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256"/>
    </row>
    <row r="73" spans="1:162" ht="7.5" customHeight="1">
      <c r="A73" s="1"/>
      <c r="B73" s="1"/>
      <c r="C73" s="4"/>
      <c r="D73" s="1"/>
      <c r="E73" s="1"/>
      <c r="F73" s="1"/>
      <c r="G73" s="1"/>
      <c r="H73" s="1"/>
      <c r="I73" s="1"/>
      <c r="J73" s="1"/>
      <c r="K73" s="1"/>
      <c r="L73" s="1"/>
      <c r="M73" s="1"/>
      <c r="N73" s="1"/>
      <c r="O73" s="1"/>
      <c r="P73" s="1"/>
      <c r="Q73" s="284"/>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76"/>
      <c r="DA73" s="1"/>
      <c r="DB73" s="1"/>
      <c r="DC73" s="1"/>
      <c r="DD73" s="1"/>
      <c r="DE73" s="1"/>
      <c r="DF73" s="1"/>
      <c r="DG73" s="1"/>
      <c r="DH73" s="1"/>
      <c r="DI73" s="1"/>
      <c r="DJ73" s="1"/>
      <c r="DK73" s="1"/>
      <c r="DL73" s="1"/>
      <c r="DM73" s="1"/>
      <c r="DN73" s="6"/>
      <c r="DO73" s="1"/>
      <c r="DP73" s="1">
        <v>1</v>
      </c>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256"/>
    </row>
    <row r="74" spans="1:162" ht="7.5" customHeight="1">
      <c r="A74" s="1"/>
      <c r="B74" s="1"/>
      <c r="C74" s="4"/>
      <c r="D74" s="1"/>
      <c r="E74" s="1"/>
      <c r="F74" s="85"/>
      <c r="G74" s="1"/>
      <c r="H74" s="1"/>
      <c r="I74" s="1"/>
      <c r="J74" s="1"/>
      <c r="K74" s="1"/>
      <c r="L74" s="1"/>
      <c r="M74" s="1"/>
      <c r="N74" s="1"/>
      <c r="O74" s="1"/>
      <c r="P74" s="1"/>
      <c r="Q74" s="77"/>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76"/>
      <c r="DA74" s="1"/>
      <c r="DB74" s="1"/>
      <c r="DC74" s="1"/>
      <c r="DD74" s="1"/>
      <c r="DE74" s="1"/>
      <c r="DF74" s="1"/>
      <c r="DG74" s="1"/>
      <c r="DH74" s="1"/>
      <c r="DI74" s="1"/>
      <c r="DJ74" s="1"/>
      <c r="DK74" s="1"/>
      <c r="DL74" s="1"/>
      <c r="DM74" s="1"/>
      <c r="DN74" s="6"/>
      <c r="DO74" s="1"/>
      <c r="DP74" s="1">
        <v>1</v>
      </c>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256"/>
    </row>
    <row r="75" spans="1:162" ht="7.5" customHeight="1">
      <c r="A75" s="1"/>
      <c r="B75" s="1"/>
      <c r="C75" s="4"/>
      <c r="D75" s="1"/>
      <c r="E75" s="1"/>
      <c r="F75" s="1"/>
      <c r="G75" s="1"/>
      <c r="H75" s="1"/>
      <c r="I75" s="1"/>
      <c r="J75" s="1"/>
      <c r="K75" s="1"/>
      <c r="L75" s="1"/>
      <c r="M75" s="1"/>
      <c r="N75" s="1"/>
      <c r="O75" s="1"/>
      <c r="P75" s="1"/>
      <c r="Q75" s="77"/>
      <c r="R75" s="71"/>
      <c r="S75" s="290" t="str">
        <f>VLOOKUP("tc_body",langTable,MATCH(langName,_lang!$A$1:$F$1,0),FALSE())</f>
        <v>My daughter is 10 years old.
She's kind and fierce. She's been a leader of humans since the day she was born.
She loves dancing, singing, and playing football (she's a goalkeeper). Her favourite team is Arsenal, and her favourite player is Hannah Hampton.
She also lives with Primary Sclerosing Cholangitis (PSC). You can find out more at pscsupport.org.uk.
That's why we made this, and why we're raising money for PSC Support.
If you've enjoyed using the predictor, please consider donating and sharing, wherever football fans are.
https://www.justgiving.com/page/predictforpsc</v>
      </c>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71"/>
      <c r="BI75" s="71"/>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76"/>
      <c r="DA75" s="1"/>
      <c r="DB75" s="1"/>
      <c r="DC75" s="1"/>
      <c r="DD75" s="1"/>
      <c r="DE75" s="1"/>
      <c r="DF75" s="1"/>
      <c r="DG75" s="1"/>
      <c r="DH75" s="1"/>
      <c r="DI75" s="1"/>
      <c r="DJ75" s="1"/>
      <c r="DK75" s="1"/>
      <c r="DL75" s="1"/>
      <c r="DM75" s="1"/>
      <c r="DN75" s="6"/>
      <c r="DO75" s="1"/>
      <c r="DP75" s="1">
        <v>1</v>
      </c>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256"/>
    </row>
    <row r="76" spans="1:162" ht="7.5" customHeight="1">
      <c r="A76" s="1"/>
      <c r="B76" s="1"/>
      <c r="C76" s="4"/>
      <c r="D76" s="1"/>
      <c r="E76" s="1"/>
      <c r="F76" s="1"/>
      <c r="G76" s="1"/>
      <c r="H76" s="1"/>
      <c r="I76" s="1"/>
      <c r="J76" s="1"/>
      <c r="K76" s="1"/>
      <c r="L76" s="1"/>
      <c r="M76" s="1"/>
      <c r="N76" s="1"/>
      <c r="O76" s="1"/>
      <c r="P76" s="1"/>
      <c r="Q76" s="77"/>
      <c r="R76" s="71"/>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71"/>
      <c r="BI76" s="71"/>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76"/>
      <c r="DA76" s="1"/>
      <c r="DB76" s="1"/>
      <c r="DC76" s="1"/>
      <c r="DD76" s="1"/>
      <c r="DE76" s="1"/>
      <c r="DF76" s="1"/>
      <c r="DG76" s="1"/>
      <c r="DH76" s="1"/>
      <c r="DI76" s="1"/>
      <c r="DJ76" s="1"/>
      <c r="DK76" s="1"/>
      <c r="DL76" s="1"/>
      <c r="DM76" s="1"/>
      <c r="DN76" s="6"/>
      <c r="DO76" s="1"/>
      <c r="DP76" s="1">
        <v>1</v>
      </c>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256"/>
    </row>
    <row r="77" spans="1:162" ht="7.5" customHeight="1">
      <c r="A77" s="1"/>
      <c r="B77" s="1"/>
      <c r="C77" s="4"/>
      <c r="D77" s="1"/>
      <c r="E77" s="1"/>
      <c r="F77" s="1"/>
      <c r="G77" s="1"/>
      <c r="H77" s="1"/>
      <c r="I77" s="1"/>
      <c r="J77" s="1"/>
      <c r="K77" s="1"/>
      <c r="L77" s="1"/>
      <c r="M77" s="1"/>
      <c r="N77" s="1"/>
      <c r="O77" s="1"/>
      <c r="P77" s="1"/>
      <c r="Q77" s="77"/>
      <c r="R77" s="71"/>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71"/>
      <c r="BI77" s="71"/>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76"/>
      <c r="DA77" s="1"/>
      <c r="DB77" s="1"/>
      <c r="DC77" s="1"/>
      <c r="DD77" s="1"/>
      <c r="DE77" s="1"/>
      <c r="DF77" s="1"/>
      <c r="DG77" s="1"/>
      <c r="DH77" s="1"/>
      <c r="DI77" s="1"/>
      <c r="DJ77" s="1"/>
      <c r="DK77" s="1"/>
      <c r="DL77" s="1"/>
      <c r="DM77" s="1"/>
      <c r="DN77" s="6"/>
      <c r="DO77" s="1"/>
      <c r="DP77" s="1">
        <v>1</v>
      </c>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256"/>
    </row>
    <row r="78" spans="1:162" ht="7.5" customHeight="1">
      <c r="A78" s="1"/>
      <c r="B78" s="1"/>
      <c r="C78" s="4"/>
      <c r="D78" s="1"/>
      <c r="E78" s="1"/>
      <c r="F78" s="1"/>
      <c r="G78" s="1"/>
      <c r="H78" s="1"/>
      <c r="I78" s="1"/>
      <c r="J78" s="1"/>
      <c r="K78" s="1"/>
      <c r="L78" s="1"/>
      <c r="M78" s="1"/>
      <c r="N78" s="1"/>
      <c r="O78" s="1"/>
      <c r="P78" s="1"/>
      <c r="Q78" s="77"/>
      <c r="R78" s="71"/>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71"/>
      <c r="BI78" s="71"/>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76"/>
      <c r="DA78" s="1"/>
      <c r="DB78" s="1"/>
      <c r="DC78" s="1"/>
      <c r="DD78" s="1"/>
      <c r="DE78" s="1"/>
      <c r="DF78" s="1"/>
      <c r="DG78" s="1"/>
      <c r="DH78" s="1"/>
      <c r="DI78" s="1"/>
      <c r="DJ78" s="1"/>
      <c r="DK78" s="1"/>
      <c r="DL78" s="1"/>
      <c r="DM78" s="1"/>
      <c r="DN78" s="6"/>
      <c r="DO78" s="1"/>
      <c r="DP78" s="1">
        <v>1</v>
      </c>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256"/>
    </row>
    <row r="79" spans="1:162" ht="7.5" customHeight="1">
      <c r="A79" s="1"/>
      <c r="B79" s="1"/>
      <c r="C79" s="4"/>
      <c r="D79" s="1"/>
      <c r="E79" s="1"/>
      <c r="F79" s="1"/>
      <c r="G79" s="1"/>
      <c r="H79" s="1"/>
      <c r="I79" s="1"/>
      <c r="J79" s="1"/>
      <c r="K79" s="1"/>
      <c r="L79" s="1"/>
      <c r="M79" s="1"/>
      <c r="N79" s="1"/>
      <c r="O79" s="1"/>
      <c r="P79" s="1"/>
      <c r="Q79" s="77"/>
      <c r="R79" s="71"/>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71"/>
      <c r="BI79" s="71"/>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76"/>
      <c r="DA79" s="1"/>
      <c r="DB79" s="1"/>
      <c r="DC79" s="1"/>
      <c r="DD79" s="1"/>
      <c r="DE79" s="1"/>
      <c r="DF79" s="1"/>
      <c r="DG79" s="1"/>
      <c r="DH79" s="1"/>
      <c r="DI79" s="1"/>
      <c r="DJ79" s="1"/>
      <c r="DK79" s="1"/>
      <c r="DL79" s="1"/>
      <c r="DM79" s="1"/>
      <c r="DN79" s="6"/>
      <c r="DO79" s="1"/>
      <c r="DP79" s="1">
        <v>1</v>
      </c>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256"/>
    </row>
    <row r="80" spans="1:162" ht="7.5" customHeight="1">
      <c r="A80" s="1"/>
      <c r="B80" s="1"/>
      <c r="C80" s="4"/>
      <c r="D80" s="1"/>
      <c r="E80" s="1"/>
      <c r="F80" s="1"/>
      <c r="G80" s="1"/>
      <c r="H80" s="1"/>
      <c r="I80" s="1"/>
      <c r="J80" s="1"/>
      <c r="K80" s="1"/>
      <c r="L80" s="1"/>
      <c r="M80" s="1"/>
      <c r="N80" s="1"/>
      <c r="O80" s="1"/>
      <c r="P80" s="1"/>
      <c r="Q80" s="77"/>
      <c r="R80" s="71"/>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71"/>
      <c r="BI80" s="71"/>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76"/>
      <c r="DA80" s="1"/>
      <c r="DB80" s="1"/>
      <c r="DC80" s="1"/>
      <c r="DD80" s="1"/>
      <c r="DE80" s="1"/>
      <c r="DF80" s="1"/>
      <c r="DG80" s="1"/>
      <c r="DH80" s="1"/>
      <c r="DI80" s="1"/>
      <c r="DJ80" s="1"/>
      <c r="DK80" s="1"/>
      <c r="DL80" s="1"/>
      <c r="DM80" s="1"/>
      <c r="DN80" s="6"/>
      <c r="DO80" s="1"/>
      <c r="DP80" s="1">
        <v>1</v>
      </c>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256"/>
    </row>
    <row r="81" spans="1:162" ht="7.5" customHeight="1">
      <c r="A81" s="1"/>
      <c r="B81" s="1"/>
      <c r="C81" s="4"/>
      <c r="D81" s="1"/>
      <c r="E81" s="1"/>
      <c r="F81" s="1"/>
      <c r="G81" s="1"/>
      <c r="H81" s="1"/>
      <c r="I81" s="1"/>
      <c r="J81" s="1"/>
      <c r="K81" s="1"/>
      <c r="L81" s="1"/>
      <c r="M81" s="1"/>
      <c r="N81" s="1"/>
      <c r="O81" s="1"/>
      <c r="P81" s="1"/>
      <c r="Q81" s="77"/>
      <c r="R81" s="71"/>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71"/>
      <c r="BI81" s="71"/>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76"/>
      <c r="DA81" s="1"/>
      <c r="DB81" s="1"/>
      <c r="DC81" s="1"/>
      <c r="DD81" s="1"/>
      <c r="DE81" s="1"/>
      <c r="DF81" s="1"/>
      <c r="DG81" s="1"/>
      <c r="DH81" s="1"/>
      <c r="DI81" s="1"/>
      <c r="DJ81" s="1"/>
      <c r="DK81" s="1"/>
      <c r="DL81" s="1"/>
      <c r="DM81" s="1"/>
      <c r="DN81" s="6"/>
      <c r="DO81" s="1"/>
      <c r="DP81" s="1">
        <v>1</v>
      </c>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256"/>
    </row>
    <row r="82" spans="1:162" ht="7.5" customHeight="1">
      <c r="A82" s="1"/>
      <c r="B82" s="1"/>
      <c r="C82" s="4"/>
      <c r="D82" s="1"/>
      <c r="E82" s="1"/>
      <c r="F82" s="1"/>
      <c r="G82" s="1"/>
      <c r="H82" s="1"/>
      <c r="I82" s="1"/>
      <c r="J82" s="1"/>
      <c r="K82" s="1"/>
      <c r="L82" s="1"/>
      <c r="M82" s="1"/>
      <c r="N82" s="1"/>
      <c r="O82" s="1"/>
      <c r="P82" s="1"/>
      <c r="Q82" s="77"/>
      <c r="R82" s="71"/>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71"/>
      <c r="BI82" s="71"/>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76"/>
      <c r="DA82" s="1"/>
      <c r="DB82" s="1"/>
      <c r="DC82" s="1"/>
      <c r="DD82" s="1"/>
      <c r="DE82" s="1"/>
      <c r="DF82" s="1"/>
      <c r="DG82" s="1"/>
      <c r="DH82" s="1"/>
      <c r="DI82" s="1"/>
      <c r="DJ82" s="1"/>
      <c r="DK82" s="1"/>
      <c r="DL82" s="1"/>
      <c r="DM82" s="1"/>
      <c r="DN82" s="6"/>
      <c r="DO82" s="1"/>
      <c r="DP82" s="1">
        <v>1</v>
      </c>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256"/>
    </row>
    <row r="83" spans="1:162" ht="7.5" customHeight="1">
      <c r="A83" s="1"/>
      <c r="B83" s="1"/>
      <c r="C83" s="4"/>
      <c r="D83" s="1"/>
      <c r="E83" s="1"/>
      <c r="F83" s="1"/>
      <c r="G83" s="1"/>
      <c r="H83" s="1"/>
      <c r="I83" s="1"/>
      <c r="J83" s="1"/>
      <c r="K83" s="1"/>
      <c r="L83" s="1"/>
      <c r="M83" s="1"/>
      <c r="N83" s="1"/>
      <c r="O83" s="1"/>
      <c r="P83" s="1"/>
      <c r="Q83" s="77"/>
      <c r="R83" s="71"/>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71"/>
      <c r="BI83" s="71"/>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76"/>
      <c r="DA83" s="1"/>
      <c r="DB83" s="1"/>
      <c r="DC83" s="1"/>
      <c r="DD83" s="1"/>
      <c r="DE83" s="1"/>
      <c r="DF83" s="1"/>
      <c r="DG83" s="1"/>
      <c r="DH83" s="1"/>
      <c r="DI83" s="1"/>
      <c r="DJ83" s="1"/>
      <c r="DK83" s="1"/>
      <c r="DL83" s="1"/>
      <c r="DM83" s="1"/>
      <c r="DN83" s="6"/>
      <c r="DO83" s="1"/>
      <c r="DP83" s="1">
        <v>1</v>
      </c>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256"/>
    </row>
    <row r="84" spans="1:162" ht="7.5" customHeight="1">
      <c r="A84" s="1"/>
      <c r="B84" s="1"/>
      <c r="C84" s="4"/>
      <c r="D84" s="1"/>
      <c r="E84" s="1"/>
      <c r="F84" s="1"/>
      <c r="G84" s="1"/>
      <c r="H84" s="1"/>
      <c r="I84" s="1"/>
      <c r="J84" s="1"/>
      <c r="K84" s="1"/>
      <c r="L84" s="1"/>
      <c r="M84" s="1"/>
      <c r="N84" s="1"/>
      <c r="O84" s="1"/>
      <c r="P84" s="1"/>
      <c r="Q84" s="77"/>
      <c r="R84" s="71"/>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71"/>
      <c r="BI84" s="71"/>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76"/>
      <c r="DA84" s="1"/>
      <c r="DB84" s="1"/>
      <c r="DC84" s="1"/>
      <c r="DD84" s="1"/>
      <c r="DE84" s="1"/>
      <c r="DF84" s="1"/>
      <c r="DG84" s="1"/>
      <c r="DH84" s="1"/>
      <c r="DI84" s="1"/>
      <c r="DJ84" s="1"/>
      <c r="DK84" s="1"/>
      <c r="DL84" s="1"/>
      <c r="DM84" s="1"/>
      <c r="DN84" s="6"/>
      <c r="DO84" s="1"/>
      <c r="DP84" s="1">
        <v>1</v>
      </c>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256"/>
    </row>
    <row r="85" spans="1:162" ht="7.5" customHeight="1">
      <c r="A85" s="1"/>
      <c r="B85" s="1"/>
      <c r="C85" s="4"/>
      <c r="D85" s="1"/>
      <c r="E85" s="1"/>
      <c r="F85" s="1"/>
      <c r="G85" s="1"/>
      <c r="H85" s="1"/>
      <c r="I85" s="1"/>
      <c r="J85" s="1"/>
      <c r="K85" s="1"/>
      <c r="L85" s="1"/>
      <c r="M85" s="1"/>
      <c r="N85" s="1"/>
      <c r="O85" s="1"/>
      <c r="P85" s="1"/>
      <c r="Q85" s="77"/>
      <c r="R85" s="71"/>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71"/>
      <c r="BI85" s="71"/>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76"/>
      <c r="DA85" s="1"/>
      <c r="DB85" s="1"/>
      <c r="DC85" s="1"/>
      <c r="DD85" s="1"/>
      <c r="DE85" s="1"/>
      <c r="DF85" s="1"/>
      <c r="DG85" s="1"/>
      <c r="DH85" s="1"/>
      <c r="DI85" s="1"/>
      <c r="DJ85" s="1"/>
      <c r="DK85" s="1"/>
      <c r="DL85" s="1"/>
      <c r="DM85" s="1"/>
      <c r="DN85" s="6"/>
      <c r="DO85" s="1"/>
      <c r="DP85" s="1">
        <v>1</v>
      </c>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256"/>
    </row>
    <row r="86" spans="1:162" ht="7.5" customHeight="1">
      <c r="A86" s="1"/>
      <c r="B86" s="1"/>
      <c r="C86" s="4"/>
      <c r="D86" s="1"/>
      <c r="E86" s="1"/>
      <c r="F86" s="1"/>
      <c r="G86" s="1"/>
      <c r="H86" s="1"/>
      <c r="I86" s="1"/>
      <c r="J86" s="1"/>
      <c r="K86" s="1"/>
      <c r="L86" s="1"/>
      <c r="M86" s="1"/>
      <c r="N86" s="1"/>
      <c r="O86" s="1"/>
      <c r="P86" s="1"/>
      <c r="Q86" s="77"/>
      <c r="R86" s="71"/>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71"/>
      <c r="BI86" s="71"/>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76"/>
      <c r="DA86" s="1"/>
      <c r="DB86" s="1"/>
      <c r="DC86" s="1"/>
      <c r="DD86" s="1"/>
      <c r="DE86" s="1"/>
      <c r="DF86" s="1"/>
      <c r="DG86" s="1"/>
      <c r="DH86" s="1"/>
      <c r="DI86" s="1"/>
      <c r="DJ86" s="1"/>
      <c r="DK86" s="1"/>
      <c r="DL86" s="1"/>
      <c r="DM86" s="1"/>
      <c r="DN86" s="6"/>
      <c r="DO86" s="1"/>
      <c r="DP86" s="1">
        <v>1</v>
      </c>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256"/>
    </row>
    <row r="87" spans="1:162" ht="7.5" customHeight="1">
      <c r="A87" s="1"/>
      <c r="B87" s="1"/>
      <c r="C87" s="4"/>
      <c r="D87" s="1"/>
      <c r="E87" s="1"/>
      <c r="F87" s="1"/>
      <c r="G87" s="1"/>
      <c r="H87" s="1"/>
      <c r="I87" s="1"/>
      <c r="J87" s="1"/>
      <c r="K87" s="1"/>
      <c r="L87" s="1"/>
      <c r="M87" s="1"/>
      <c r="N87" s="1"/>
      <c r="O87" s="1"/>
      <c r="P87" s="1"/>
      <c r="Q87" s="77"/>
      <c r="R87" s="71"/>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71"/>
      <c r="BI87" s="71"/>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76"/>
      <c r="DA87" s="1"/>
      <c r="DB87" s="1"/>
      <c r="DC87" s="1"/>
      <c r="DD87" s="1"/>
      <c r="DE87" s="1"/>
      <c r="DF87" s="1"/>
      <c r="DG87" s="1"/>
      <c r="DH87" s="1"/>
      <c r="DI87" s="1"/>
      <c r="DJ87" s="1"/>
      <c r="DK87" s="1"/>
      <c r="DL87" s="1"/>
      <c r="DM87" s="1"/>
      <c r="DN87" s="6"/>
      <c r="DO87" s="1"/>
      <c r="DP87" s="1">
        <v>1</v>
      </c>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256"/>
    </row>
    <row r="88" spans="1:162" ht="7.5" customHeight="1">
      <c r="A88" s="1"/>
      <c r="B88" s="1"/>
      <c r="C88" s="4"/>
      <c r="D88" s="1"/>
      <c r="E88" s="1"/>
      <c r="F88" s="1"/>
      <c r="G88" s="1"/>
      <c r="H88" s="1"/>
      <c r="I88" s="1"/>
      <c r="J88" s="1"/>
      <c r="K88" s="1"/>
      <c r="L88" s="1"/>
      <c r="M88" s="1"/>
      <c r="N88" s="1"/>
      <c r="O88" s="1"/>
      <c r="P88" s="1"/>
      <c r="Q88" s="77"/>
      <c r="R88" s="71"/>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71"/>
      <c r="BI88" s="71"/>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76"/>
      <c r="DA88" s="1"/>
      <c r="DB88" s="1"/>
      <c r="DC88" s="1"/>
      <c r="DD88" s="1"/>
      <c r="DE88" s="1"/>
      <c r="DF88" s="1"/>
      <c r="DG88" s="1"/>
      <c r="DH88" s="1"/>
      <c r="DI88" s="1"/>
      <c r="DJ88" s="1"/>
      <c r="DK88" s="1"/>
      <c r="DL88" s="1"/>
      <c r="DM88" s="1"/>
      <c r="DN88" s="6"/>
      <c r="DO88" s="1"/>
      <c r="DP88" s="1">
        <v>1</v>
      </c>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256"/>
    </row>
    <row r="89" spans="1:162" ht="7.5" customHeight="1">
      <c r="A89" s="1"/>
      <c r="B89" s="1"/>
      <c r="C89" s="4"/>
      <c r="D89" s="1"/>
      <c r="E89" s="1"/>
      <c r="F89" s="1"/>
      <c r="G89" s="1"/>
      <c r="H89" s="1"/>
      <c r="I89" s="1"/>
      <c r="J89" s="1"/>
      <c r="K89" s="1"/>
      <c r="L89" s="1"/>
      <c r="M89" s="1"/>
      <c r="N89" s="1"/>
      <c r="O89" s="1"/>
      <c r="P89" s="1"/>
      <c r="Q89" s="77"/>
      <c r="R89" s="71"/>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71"/>
      <c r="BI89" s="71"/>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76"/>
      <c r="DA89" s="1"/>
      <c r="DB89" s="1"/>
      <c r="DC89" s="1"/>
      <c r="DD89" s="1"/>
      <c r="DE89" s="1"/>
      <c r="DF89" s="1"/>
      <c r="DG89" s="1"/>
      <c r="DH89" s="1"/>
      <c r="DI89" s="1"/>
      <c r="DJ89" s="1"/>
      <c r="DK89" s="1"/>
      <c r="DL89" s="1"/>
      <c r="DM89" s="1"/>
      <c r="DN89" s="6"/>
      <c r="DO89" s="1"/>
      <c r="DP89" s="1">
        <v>1</v>
      </c>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256"/>
    </row>
    <row r="90" spans="1:162" ht="7.5" customHeight="1">
      <c r="A90" s="1"/>
      <c r="B90" s="1"/>
      <c r="C90" s="4"/>
      <c r="D90" s="1"/>
      <c r="E90" s="1"/>
      <c r="F90" s="1"/>
      <c r="G90" s="1"/>
      <c r="H90" s="1"/>
      <c r="I90" s="1"/>
      <c r="J90" s="1"/>
      <c r="K90" s="1"/>
      <c r="L90" s="1"/>
      <c r="M90" s="1"/>
      <c r="N90" s="1"/>
      <c r="O90" s="1"/>
      <c r="P90" s="1"/>
      <c r="Q90" s="77"/>
      <c r="R90" s="71"/>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71"/>
      <c r="BI90" s="71"/>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76"/>
      <c r="DA90" s="1"/>
      <c r="DB90" s="1"/>
      <c r="DC90" s="1"/>
      <c r="DD90" s="1"/>
      <c r="DE90" s="1"/>
      <c r="DF90" s="1"/>
      <c r="DG90" s="1"/>
      <c r="DH90" s="1"/>
      <c r="DI90" s="1"/>
      <c r="DJ90" s="1"/>
      <c r="DK90" s="1"/>
      <c r="DL90" s="1"/>
      <c r="DM90" s="1"/>
      <c r="DN90" s="6"/>
      <c r="DO90" s="1"/>
      <c r="DP90" s="1">
        <v>1</v>
      </c>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256"/>
    </row>
    <row r="91" spans="1:162" ht="7.5" customHeight="1">
      <c r="A91" s="1"/>
      <c r="B91" s="1"/>
      <c r="C91" s="4"/>
      <c r="D91" s="1"/>
      <c r="E91" s="1"/>
      <c r="F91" s="1"/>
      <c r="G91" s="1"/>
      <c r="H91" s="1"/>
      <c r="I91" s="1"/>
      <c r="J91" s="1"/>
      <c r="K91" s="1"/>
      <c r="L91" s="1"/>
      <c r="M91" s="1"/>
      <c r="N91" s="1"/>
      <c r="O91" s="1"/>
      <c r="P91" s="1"/>
      <c r="Q91" s="77"/>
      <c r="R91" s="71"/>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71"/>
      <c r="BI91" s="71"/>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76"/>
      <c r="DA91" s="1"/>
      <c r="DB91" s="1"/>
      <c r="DC91" s="1"/>
      <c r="DD91" s="1"/>
      <c r="DE91" s="1"/>
      <c r="DF91" s="1"/>
      <c r="DG91" s="1"/>
      <c r="DH91" s="1"/>
      <c r="DI91" s="1"/>
      <c r="DJ91" s="1"/>
      <c r="DK91" s="1"/>
      <c r="DL91" s="1"/>
      <c r="DM91" s="1"/>
      <c r="DN91" s="6"/>
      <c r="DO91" s="1"/>
      <c r="DP91" s="1">
        <v>1</v>
      </c>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256"/>
    </row>
    <row r="92" spans="1:162" ht="7.5" customHeight="1">
      <c r="A92" s="1"/>
      <c r="B92" s="1"/>
      <c r="C92" s="4"/>
      <c r="D92" s="1"/>
      <c r="E92" s="1"/>
      <c r="F92" s="1"/>
      <c r="G92" s="1"/>
      <c r="H92" s="1"/>
      <c r="I92" s="1"/>
      <c r="J92" s="1"/>
      <c r="K92" s="1"/>
      <c r="L92" s="1"/>
      <c r="M92" s="1"/>
      <c r="N92" s="1"/>
      <c r="O92" s="1"/>
      <c r="P92" s="1"/>
      <c r="Q92" s="77"/>
      <c r="R92" s="71"/>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71"/>
      <c r="BI92" s="71"/>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76"/>
      <c r="DA92" s="1"/>
      <c r="DB92" s="1"/>
      <c r="DC92" s="1"/>
      <c r="DD92" s="1"/>
      <c r="DE92" s="1"/>
      <c r="DF92" s="1"/>
      <c r="DG92" s="1"/>
      <c r="DH92" s="1"/>
      <c r="DI92" s="1"/>
      <c r="DJ92" s="1"/>
      <c r="DK92" s="1"/>
      <c r="DL92" s="1"/>
      <c r="DM92" s="1"/>
      <c r="DN92" s="6"/>
      <c r="DO92" s="1"/>
      <c r="DP92" s="1">
        <v>1</v>
      </c>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256"/>
    </row>
    <row r="93" spans="1:162" ht="7.5" customHeight="1">
      <c r="A93" s="1"/>
      <c r="B93" s="1"/>
      <c r="C93" s="4"/>
      <c r="D93" s="1"/>
      <c r="E93" s="1"/>
      <c r="F93" s="1"/>
      <c r="G93" s="1"/>
      <c r="H93" s="1"/>
      <c r="I93" s="1"/>
      <c r="J93" s="1"/>
      <c r="K93" s="1"/>
      <c r="L93" s="1"/>
      <c r="M93" s="1"/>
      <c r="N93" s="1"/>
      <c r="O93" s="1"/>
      <c r="P93" s="1"/>
      <c r="Q93" s="77"/>
      <c r="R93" s="71"/>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71"/>
      <c r="BI93" s="71"/>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76"/>
      <c r="DA93" s="1"/>
      <c r="DB93" s="1"/>
      <c r="DC93" s="1"/>
      <c r="DD93" s="1"/>
      <c r="DE93" s="1"/>
      <c r="DF93" s="1"/>
      <c r="DG93" s="1"/>
      <c r="DH93" s="1"/>
      <c r="DI93" s="1"/>
      <c r="DJ93" s="1"/>
      <c r="DK93" s="1"/>
      <c r="DL93" s="1"/>
      <c r="DM93" s="1"/>
      <c r="DN93" s="6"/>
      <c r="DO93" s="1"/>
      <c r="DP93" s="1">
        <v>1</v>
      </c>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256"/>
    </row>
    <row r="94" spans="1:162" ht="7.5" customHeight="1">
      <c r="A94" s="1"/>
      <c r="B94" s="1"/>
      <c r="C94" s="4"/>
      <c r="D94" s="1"/>
      <c r="E94" s="1"/>
      <c r="F94" s="1"/>
      <c r="G94" s="1"/>
      <c r="H94" s="1"/>
      <c r="I94" s="1"/>
      <c r="J94" s="1"/>
      <c r="K94" s="1"/>
      <c r="L94" s="1"/>
      <c r="M94" s="1"/>
      <c r="N94" s="1"/>
      <c r="O94" s="1"/>
      <c r="P94" s="1"/>
      <c r="Q94" s="77"/>
      <c r="R94" s="71"/>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71"/>
      <c r="BI94" s="71"/>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76"/>
      <c r="DA94" s="1"/>
      <c r="DB94" s="1"/>
      <c r="DC94" s="1"/>
      <c r="DD94" s="1"/>
      <c r="DE94" s="1"/>
      <c r="DF94" s="1"/>
      <c r="DG94" s="1"/>
      <c r="DH94" s="1"/>
      <c r="DI94" s="1"/>
      <c r="DJ94" s="1"/>
      <c r="DK94" s="1"/>
      <c r="DL94" s="1"/>
      <c r="DM94" s="1"/>
      <c r="DN94" s="6"/>
      <c r="DO94" s="1"/>
      <c r="DP94" s="1">
        <v>1</v>
      </c>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256"/>
    </row>
    <row r="95" spans="1:162" ht="7.5" customHeight="1">
      <c r="A95" s="1"/>
      <c r="B95" s="1"/>
      <c r="C95" s="4"/>
      <c r="D95" s="1"/>
      <c r="E95" s="1"/>
      <c r="F95" s="1"/>
      <c r="G95" s="1"/>
      <c r="H95" s="1"/>
      <c r="I95" s="1"/>
      <c r="J95" s="1"/>
      <c r="K95" s="1"/>
      <c r="L95" s="1"/>
      <c r="M95" s="1"/>
      <c r="N95" s="1"/>
      <c r="O95" s="1"/>
      <c r="P95" s="1"/>
      <c r="Q95" s="77"/>
      <c r="R95" s="71"/>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71"/>
      <c r="BI95" s="71"/>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76"/>
      <c r="DA95" s="1"/>
      <c r="DB95" s="1"/>
      <c r="DC95" s="1"/>
      <c r="DD95" s="1"/>
      <c r="DE95" s="1"/>
      <c r="DF95" s="1"/>
      <c r="DG95" s="1"/>
      <c r="DH95" s="1"/>
      <c r="DI95" s="1"/>
      <c r="DJ95" s="1"/>
      <c r="DK95" s="1"/>
      <c r="DL95" s="1"/>
      <c r="DM95" s="1"/>
      <c r="DN95" s="6"/>
      <c r="DO95" s="1"/>
      <c r="DP95" s="1">
        <v>1</v>
      </c>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256"/>
    </row>
    <row r="96" spans="1:162" ht="7.5" customHeight="1">
      <c r="A96" s="1"/>
      <c r="B96" s="1"/>
      <c r="C96" s="4"/>
      <c r="D96" s="1"/>
      <c r="E96" s="1"/>
      <c r="F96" s="1"/>
      <c r="G96" s="1"/>
      <c r="H96" s="1"/>
      <c r="I96" s="1"/>
      <c r="J96" s="1"/>
      <c r="K96" s="1"/>
      <c r="L96" s="1"/>
      <c r="M96" s="1"/>
      <c r="N96" s="1"/>
      <c r="O96" s="1"/>
      <c r="P96" s="1"/>
      <c r="Q96" s="77"/>
      <c r="R96" s="71"/>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71"/>
      <c r="BI96" s="71"/>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76"/>
      <c r="DA96" s="1"/>
      <c r="DB96" s="1"/>
      <c r="DC96" s="1"/>
      <c r="DD96" s="1"/>
      <c r="DE96" s="1"/>
      <c r="DF96" s="1"/>
      <c r="DG96" s="1"/>
      <c r="DH96" s="1"/>
      <c r="DI96" s="1"/>
      <c r="DJ96" s="1"/>
      <c r="DK96" s="1"/>
      <c r="DL96" s="1"/>
      <c r="DM96" s="1"/>
      <c r="DN96" s="6"/>
      <c r="DO96" s="1"/>
      <c r="DP96" s="1">
        <v>1</v>
      </c>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256"/>
    </row>
    <row r="97" spans="1:162" ht="7.5" customHeight="1">
      <c r="A97" s="1"/>
      <c r="B97" s="1"/>
      <c r="C97" s="4"/>
      <c r="D97" s="1"/>
      <c r="E97" s="1"/>
      <c r="F97" s="1"/>
      <c r="G97" s="1"/>
      <c r="H97" s="1"/>
      <c r="I97" s="1"/>
      <c r="J97" s="1"/>
      <c r="K97" s="1"/>
      <c r="L97" s="1"/>
      <c r="M97" s="1"/>
      <c r="N97" s="1"/>
      <c r="O97" s="1"/>
      <c r="P97" s="1"/>
      <c r="Q97" s="77"/>
      <c r="R97" s="71"/>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71"/>
      <c r="BI97" s="71"/>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76"/>
      <c r="DA97" s="1"/>
      <c r="DB97" s="1"/>
      <c r="DC97" s="1"/>
      <c r="DD97" s="1"/>
      <c r="DE97" s="1"/>
      <c r="DF97" s="1"/>
      <c r="DG97" s="1"/>
      <c r="DH97" s="1"/>
      <c r="DI97" s="1"/>
      <c r="DJ97" s="1"/>
      <c r="DK97" s="1"/>
      <c r="DL97" s="1"/>
      <c r="DM97" s="1"/>
      <c r="DN97" s="6"/>
      <c r="DO97" s="1"/>
      <c r="DP97" s="1">
        <v>1</v>
      </c>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256"/>
    </row>
    <row r="98" spans="1:162" ht="7.5" customHeight="1">
      <c r="A98" s="1"/>
      <c r="B98" s="1"/>
      <c r="C98" s="4"/>
      <c r="D98" s="1"/>
      <c r="E98" s="1"/>
      <c r="F98" s="1"/>
      <c r="G98" s="1"/>
      <c r="H98" s="1"/>
      <c r="I98" s="1"/>
      <c r="J98" s="1"/>
      <c r="K98" s="1"/>
      <c r="L98" s="1"/>
      <c r="M98" s="1"/>
      <c r="N98" s="1"/>
      <c r="O98" s="1"/>
      <c r="P98" s="1"/>
      <c r="Q98" s="77"/>
      <c r="R98" s="71"/>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71"/>
      <c r="BI98" s="71"/>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76"/>
      <c r="DA98" s="1"/>
      <c r="DB98" s="1"/>
      <c r="DC98" s="1"/>
      <c r="DD98" s="1"/>
      <c r="DE98" s="1"/>
      <c r="DF98" s="1"/>
      <c r="DG98" s="1"/>
      <c r="DH98" s="1"/>
      <c r="DI98" s="1"/>
      <c r="DJ98" s="1"/>
      <c r="DK98" s="1"/>
      <c r="DL98" s="1"/>
      <c r="DM98" s="1"/>
      <c r="DN98" s="6"/>
      <c r="DO98" s="1"/>
      <c r="DP98" s="1">
        <v>1</v>
      </c>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256"/>
    </row>
    <row r="99" spans="1:162" ht="7.5" customHeight="1">
      <c r="A99" s="1"/>
      <c r="B99" s="1"/>
      <c r="C99" s="4"/>
      <c r="D99" s="1"/>
      <c r="E99" s="1"/>
      <c r="F99" s="1"/>
      <c r="G99" s="1"/>
      <c r="H99" s="1"/>
      <c r="I99" s="1"/>
      <c r="J99" s="1"/>
      <c r="K99" s="1"/>
      <c r="L99" s="1"/>
      <c r="M99" s="1"/>
      <c r="N99" s="1"/>
      <c r="O99" s="1"/>
      <c r="P99" s="1"/>
      <c r="Q99" s="77"/>
      <c r="R99" s="71"/>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71"/>
      <c r="BI99" s="71"/>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76"/>
      <c r="DA99" s="1"/>
      <c r="DB99" s="1"/>
      <c r="DC99" s="1"/>
      <c r="DD99" s="1"/>
      <c r="DE99" s="1"/>
      <c r="DF99" s="1"/>
      <c r="DG99" s="1"/>
      <c r="DH99" s="1"/>
      <c r="DI99" s="1"/>
      <c r="DJ99" s="1"/>
      <c r="DK99" s="1"/>
      <c r="DL99" s="1"/>
      <c r="DM99" s="1"/>
      <c r="DN99" s="6"/>
      <c r="DO99" s="1"/>
      <c r="DP99" s="1">
        <v>1</v>
      </c>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256"/>
    </row>
    <row r="100" spans="1:162" ht="7.5" customHeight="1">
      <c r="A100" s="1"/>
      <c r="B100" s="1"/>
      <c r="C100" s="4"/>
      <c r="D100" s="1"/>
      <c r="E100" s="1"/>
      <c r="F100" s="1"/>
      <c r="G100" s="1"/>
      <c r="H100" s="1"/>
      <c r="I100" s="1"/>
      <c r="J100" s="1"/>
      <c r="K100" s="1"/>
      <c r="L100" s="1"/>
      <c r="M100" s="1"/>
      <c r="N100" s="1"/>
      <c r="O100" s="1"/>
      <c r="P100" s="1"/>
      <c r="Q100" s="77"/>
      <c r="R100" s="71"/>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71"/>
      <c r="BI100" s="71"/>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76"/>
      <c r="DA100" s="1"/>
      <c r="DB100" s="1"/>
      <c r="DC100" s="1"/>
      <c r="DD100" s="1"/>
      <c r="DE100" s="1"/>
      <c r="DF100" s="1"/>
      <c r="DG100" s="1"/>
      <c r="DH100" s="1"/>
      <c r="DI100" s="1"/>
      <c r="DJ100" s="1"/>
      <c r="DK100" s="1"/>
      <c r="DL100" s="1"/>
      <c r="DM100" s="1"/>
      <c r="DN100" s="6"/>
      <c r="DO100" s="1"/>
      <c r="DP100" s="1">
        <v>1</v>
      </c>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256"/>
    </row>
    <row r="101" spans="1:162" ht="7.5" customHeight="1">
      <c r="A101" s="1"/>
      <c r="B101" s="1"/>
      <c r="C101" s="4"/>
      <c r="D101" s="1"/>
      <c r="E101" s="1"/>
      <c r="F101" s="1"/>
      <c r="G101" s="1"/>
      <c r="H101" s="1"/>
      <c r="I101" s="1"/>
      <c r="J101" s="1"/>
      <c r="K101" s="1"/>
      <c r="L101" s="1"/>
      <c r="M101" s="1"/>
      <c r="N101" s="1"/>
      <c r="O101" s="1"/>
      <c r="P101" s="1"/>
      <c r="Q101" s="77"/>
      <c r="R101" s="71"/>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71"/>
      <c r="BI101" s="71"/>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76"/>
      <c r="DA101" s="1"/>
      <c r="DB101" s="1"/>
      <c r="DC101" s="1"/>
      <c r="DD101" s="1"/>
      <c r="DE101" s="1"/>
      <c r="DF101" s="1"/>
      <c r="DG101" s="1"/>
      <c r="DH101" s="1"/>
      <c r="DI101" s="1"/>
      <c r="DJ101" s="1"/>
      <c r="DK101" s="1"/>
      <c r="DL101" s="1"/>
      <c r="DM101" s="1"/>
      <c r="DN101" s="6"/>
      <c r="DO101" s="1"/>
      <c r="DP101" s="1">
        <v>1</v>
      </c>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256"/>
    </row>
    <row r="102" spans="1:162" ht="7.5" customHeight="1">
      <c r="A102" s="1"/>
      <c r="B102" s="1"/>
      <c r="C102" s="4"/>
      <c r="D102" s="1"/>
      <c r="E102" s="1"/>
      <c r="F102" s="1"/>
      <c r="G102" s="1"/>
      <c r="H102" s="1"/>
      <c r="I102" s="1"/>
      <c r="J102" s="1"/>
      <c r="K102" s="1"/>
      <c r="L102" s="1"/>
      <c r="M102" s="1"/>
      <c r="N102" s="1"/>
      <c r="O102" s="1"/>
      <c r="P102" s="1"/>
      <c r="Q102" s="77"/>
      <c r="R102" s="71"/>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71"/>
      <c r="BI102" s="71"/>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76"/>
      <c r="DA102" s="1"/>
      <c r="DB102" s="1"/>
      <c r="DC102" s="1"/>
      <c r="DD102" s="1"/>
      <c r="DE102" s="1"/>
      <c r="DF102" s="1"/>
      <c r="DG102" s="1"/>
      <c r="DH102" s="1"/>
      <c r="DI102" s="1"/>
      <c r="DJ102" s="1"/>
      <c r="DK102" s="1"/>
      <c r="DL102" s="1"/>
      <c r="DM102" s="1"/>
      <c r="DN102" s="6"/>
      <c r="DO102" s="1"/>
      <c r="DP102" s="1">
        <v>1</v>
      </c>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256"/>
    </row>
    <row r="103" spans="1:162" ht="7.5" customHeight="1">
      <c r="A103" s="1"/>
      <c r="B103" s="1"/>
      <c r="C103" s="4"/>
      <c r="D103" s="1"/>
      <c r="E103" s="1"/>
      <c r="F103" s="1"/>
      <c r="G103" s="1"/>
      <c r="H103" s="1"/>
      <c r="I103" s="1"/>
      <c r="J103" s="1"/>
      <c r="K103" s="1"/>
      <c r="L103" s="1"/>
      <c r="M103" s="1"/>
      <c r="N103" s="1"/>
      <c r="O103" s="1"/>
      <c r="P103" s="1"/>
      <c r="Q103" s="77"/>
      <c r="R103" s="71"/>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71"/>
      <c r="BI103" s="71"/>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76"/>
      <c r="DA103" s="1"/>
      <c r="DB103" s="1"/>
      <c r="DC103" s="1"/>
      <c r="DD103" s="1"/>
      <c r="DE103" s="1"/>
      <c r="DF103" s="1"/>
      <c r="DG103" s="1"/>
      <c r="DH103" s="1"/>
      <c r="DI103" s="1"/>
      <c r="DJ103" s="1"/>
      <c r="DK103" s="1"/>
      <c r="DL103" s="1"/>
      <c r="DM103" s="1"/>
      <c r="DN103" s="6"/>
      <c r="DO103" s="1"/>
      <c r="DP103" s="1">
        <v>1</v>
      </c>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256"/>
    </row>
    <row r="104" spans="1:162" ht="7.5" customHeight="1">
      <c r="A104" s="1"/>
      <c r="B104" s="1"/>
      <c r="C104" s="4"/>
      <c r="D104" s="1"/>
      <c r="E104" s="1"/>
      <c r="F104" s="1"/>
      <c r="G104" s="1"/>
      <c r="H104" s="1"/>
      <c r="I104" s="1"/>
      <c r="J104" s="1"/>
      <c r="K104" s="1"/>
      <c r="L104" s="1"/>
      <c r="M104" s="1"/>
      <c r="N104" s="1"/>
      <c r="O104" s="1"/>
      <c r="P104" s="1"/>
      <c r="Q104" s="77"/>
      <c r="R104" s="71"/>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71"/>
      <c r="BI104" s="71"/>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76"/>
      <c r="DA104" s="1"/>
      <c r="DB104" s="1"/>
      <c r="DC104" s="1"/>
      <c r="DD104" s="1"/>
      <c r="DE104" s="1"/>
      <c r="DF104" s="1"/>
      <c r="DG104" s="1"/>
      <c r="DH104" s="1"/>
      <c r="DI104" s="1"/>
      <c r="DJ104" s="1"/>
      <c r="DK104" s="1"/>
      <c r="DL104" s="1"/>
      <c r="DM104" s="1"/>
      <c r="DN104" s="6"/>
      <c r="DO104" s="1"/>
      <c r="DP104" s="1">
        <v>1</v>
      </c>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256"/>
    </row>
    <row r="105" spans="1:162" ht="7.5" customHeight="1">
      <c r="A105" s="1"/>
      <c r="B105" s="1"/>
      <c r="C105" s="4"/>
      <c r="D105" s="1"/>
      <c r="E105" s="1"/>
      <c r="F105" s="1"/>
      <c r="G105" s="1"/>
      <c r="H105" s="1"/>
      <c r="I105" s="1"/>
      <c r="J105" s="1"/>
      <c r="K105" s="1"/>
      <c r="L105" s="1"/>
      <c r="M105" s="1"/>
      <c r="N105" s="1"/>
      <c r="O105" s="1"/>
      <c r="P105" s="1"/>
      <c r="Q105" s="77"/>
      <c r="R105" s="71"/>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71"/>
      <c r="BI105" s="71"/>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76"/>
      <c r="DA105" s="1"/>
      <c r="DB105" s="1"/>
      <c r="DC105" s="1"/>
      <c r="DD105" s="1"/>
      <c r="DE105" s="1"/>
      <c r="DF105" s="1"/>
      <c r="DG105" s="1"/>
      <c r="DH105" s="1"/>
      <c r="DI105" s="1"/>
      <c r="DJ105" s="1"/>
      <c r="DK105" s="1"/>
      <c r="DL105" s="1"/>
      <c r="DM105" s="1"/>
      <c r="DN105" s="6"/>
      <c r="DO105" s="1"/>
      <c r="DP105" s="1">
        <v>1</v>
      </c>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256"/>
    </row>
    <row r="106" spans="1:162" ht="7.5" customHeight="1">
      <c r="A106" s="1"/>
      <c r="B106" s="1"/>
      <c r="C106" s="4"/>
      <c r="D106" s="1"/>
      <c r="E106" s="1"/>
      <c r="F106" s="1"/>
      <c r="G106" s="1"/>
      <c r="H106" s="1"/>
      <c r="I106" s="1"/>
      <c r="J106" s="1"/>
      <c r="K106" s="1"/>
      <c r="L106" s="1"/>
      <c r="M106" s="1"/>
      <c r="N106" s="1"/>
      <c r="O106" s="1"/>
      <c r="P106" s="1"/>
      <c r="Q106" s="77"/>
      <c r="R106" s="71"/>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71"/>
      <c r="BI106" s="71"/>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76"/>
      <c r="DA106" s="1"/>
      <c r="DB106" s="1"/>
      <c r="DC106" s="1"/>
      <c r="DD106" s="1"/>
      <c r="DE106" s="1"/>
      <c r="DF106" s="1"/>
      <c r="DG106" s="1"/>
      <c r="DH106" s="1"/>
      <c r="DI106" s="1"/>
      <c r="DJ106" s="1"/>
      <c r="DK106" s="1"/>
      <c r="DL106" s="1"/>
      <c r="DM106" s="1"/>
      <c r="DN106" s="6"/>
      <c r="DO106" s="1"/>
      <c r="DP106" s="1">
        <v>1</v>
      </c>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256"/>
    </row>
    <row r="107" spans="1:162" ht="7.5" customHeight="1">
      <c r="A107" s="1"/>
      <c r="B107" s="1"/>
      <c r="C107" s="4"/>
      <c r="D107" s="1"/>
      <c r="E107" s="1"/>
      <c r="F107" s="1"/>
      <c r="G107" s="1"/>
      <c r="H107" s="1"/>
      <c r="I107" s="1"/>
      <c r="J107" s="1"/>
      <c r="K107" s="1"/>
      <c r="L107" s="1"/>
      <c r="M107" s="1"/>
      <c r="N107" s="1"/>
      <c r="O107" s="1"/>
      <c r="P107" s="1"/>
      <c r="Q107" s="77"/>
      <c r="R107" s="71"/>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71"/>
      <c r="BI107" s="71"/>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76"/>
      <c r="DA107" s="1"/>
      <c r="DB107" s="1"/>
      <c r="DC107" s="1"/>
      <c r="DD107" s="1"/>
      <c r="DE107" s="1"/>
      <c r="DF107" s="1"/>
      <c r="DG107" s="1"/>
      <c r="DH107" s="1"/>
      <c r="DI107" s="1"/>
      <c r="DJ107" s="1"/>
      <c r="DK107" s="1"/>
      <c r="DL107" s="1"/>
      <c r="DM107" s="1"/>
      <c r="DN107" s="6"/>
      <c r="DO107" s="1"/>
      <c r="DP107" s="1">
        <v>1</v>
      </c>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256"/>
    </row>
    <row r="108" spans="1:162" ht="7.5" customHeight="1">
      <c r="A108" s="1"/>
      <c r="B108" s="1"/>
      <c r="C108" s="4"/>
      <c r="D108" s="1"/>
      <c r="E108" s="1"/>
      <c r="F108" s="1"/>
      <c r="G108" s="1"/>
      <c r="H108" s="1"/>
      <c r="I108" s="1"/>
      <c r="J108" s="1"/>
      <c r="K108" s="1"/>
      <c r="L108" s="1"/>
      <c r="M108" s="1"/>
      <c r="N108" s="1"/>
      <c r="O108" s="1"/>
      <c r="P108" s="1"/>
      <c r="Q108" s="77"/>
      <c r="R108" s="71"/>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71"/>
      <c r="BI108" s="71"/>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76"/>
      <c r="DA108" s="1"/>
      <c r="DB108" s="1"/>
      <c r="DC108" s="1"/>
      <c r="DD108" s="1"/>
      <c r="DE108" s="1"/>
      <c r="DF108" s="1"/>
      <c r="DG108" s="1"/>
      <c r="DH108" s="1"/>
      <c r="DI108" s="1"/>
      <c r="DJ108" s="1"/>
      <c r="DK108" s="1"/>
      <c r="DL108" s="1"/>
      <c r="DM108" s="1"/>
      <c r="DN108" s="6"/>
      <c r="DO108" s="1"/>
      <c r="DP108" s="1">
        <v>1</v>
      </c>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256"/>
    </row>
    <row r="109" spans="1:162" ht="7.5" customHeight="1">
      <c r="A109" s="1"/>
      <c r="B109" s="1"/>
      <c r="C109" s="4"/>
      <c r="D109" s="1"/>
      <c r="E109" s="1"/>
      <c r="F109" s="1"/>
      <c r="G109" s="1"/>
      <c r="H109" s="1"/>
      <c r="I109" s="1"/>
      <c r="J109" s="1"/>
      <c r="K109" s="1"/>
      <c r="L109" s="1"/>
      <c r="M109" s="1"/>
      <c r="N109" s="1"/>
      <c r="O109" s="1"/>
      <c r="P109" s="1"/>
      <c r="Q109" s="77"/>
      <c r="R109" s="71"/>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71"/>
      <c r="BI109" s="71"/>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76"/>
      <c r="DA109" s="1"/>
      <c r="DB109" s="1"/>
      <c r="DC109" s="1"/>
      <c r="DD109" s="1"/>
      <c r="DE109" s="1"/>
      <c r="DF109" s="1"/>
      <c r="DG109" s="1"/>
      <c r="DH109" s="1"/>
      <c r="DI109" s="1"/>
      <c r="DJ109" s="1"/>
      <c r="DK109" s="1"/>
      <c r="DL109" s="1"/>
      <c r="DM109" s="1"/>
      <c r="DN109" s="6"/>
      <c r="DO109" s="1"/>
      <c r="DP109" s="1">
        <v>1</v>
      </c>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256"/>
    </row>
    <row r="110" spans="1:162" ht="7.5" customHeight="1">
      <c r="A110" s="1"/>
      <c r="B110" s="1"/>
      <c r="C110" s="4"/>
      <c r="D110" s="1"/>
      <c r="E110" s="1"/>
      <c r="F110" s="1"/>
      <c r="G110" s="1"/>
      <c r="H110" s="1"/>
      <c r="I110" s="1"/>
      <c r="J110" s="1"/>
      <c r="K110" s="1"/>
      <c r="L110" s="1"/>
      <c r="M110" s="1"/>
      <c r="N110" s="1"/>
      <c r="O110" s="1"/>
      <c r="P110" s="1"/>
      <c r="Q110" s="77"/>
      <c r="R110" s="71"/>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71"/>
      <c r="BI110" s="71"/>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76"/>
      <c r="DA110" s="1"/>
      <c r="DB110" s="1"/>
      <c r="DC110" s="1"/>
      <c r="DD110" s="1"/>
      <c r="DE110" s="1"/>
      <c r="DF110" s="1"/>
      <c r="DG110" s="1"/>
      <c r="DH110" s="1"/>
      <c r="DI110" s="1"/>
      <c r="DJ110" s="1"/>
      <c r="DK110" s="1"/>
      <c r="DL110" s="1"/>
      <c r="DM110" s="1"/>
      <c r="DN110" s="6"/>
      <c r="DO110" s="1"/>
      <c r="DP110" s="1">
        <v>1</v>
      </c>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256"/>
    </row>
    <row r="111" spans="1:162" ht="7.5" customHeight="1">
      <c r="A111" s="1"/>
      <c r="B111" s="1"/>
      <c r="C111" s="4"/>
      <c r="D111" s="1"/>
      <c r="E111" s="1"/>
      <c r="F111" s="1"/>
      <c r="G111" s="1"/>
      <c r="H111" s="1"/>
      <c r="I111" s="1"/>
      <c r="J111" s="1"/>
      <c r="K111" s="1"/>
      <c r="L111" s="1"/>
      <c r="M111" s="1"/>
      <c r="N111" s="1"/>
      <c r="O111" s="1"/>
      <c r="P111" s="1"/>
      <c r="Q111" s="77"/>
      <c r="R111" s="71"/>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71"/>
      <c r="BI111" s="71"/>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76"/>
      <c r="DA111" s="1"/>
      <c r="DB111" s="1"/>
      <c r="DC111" s="1"/>
      <c r="DD111" s="1"/>
      <c r="DE111" s="1"/>
      <c r="DF111" s="1"/>
      <c r="DG111" s="1"/>
      <c r="DH111" s="1"/>
      <c r="DI111" s="1"/>
      <c r="DJ111" s="1"/>
      <c r="DK111" s="1"/>
      <c r="DL111" s="1"/>
      <c r="DM111" s="1"/>
      <c r="DN111" s="6"/>
      <c r="DO111" s="1"/>
      <c r="DP111" s="1">
        <v>1</v>
      </c>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256"/>
    </row>
    <row r="112" spans="1:162" ht="7.5" customHeight="1">
      <c r="A112" s="1"/>
      <c r="B112" s="1"/>
      <c r="C112" s="4"/>
      <c r="D112" s="1"/>
      <c r="E112" s="1"/>
      <c r="F112" s="1"/>
      <c r="G112" s="1"/>
      <c r="H112" s="1"/>
      <c r="I112" s="1"/>
      <c r="J112" s="1"/>
      <c r="K112" s="1"/>
      <c r="L112" s="1"/>
      <c r="M112" s="1"/>
      <c r="N112" s="1"/>
      <c r="O112" s="1"/>
      <c r="P112" s="1"/>
      <c r="Q112" s="77"/>
      <c r="R112" s="71"/>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71"/>
      <c r="BI112" s="71"/>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76"/>
      <c r="DA112" s="1"/>
      <c r="DB112" s="1"/>
      <c r="DC112" s="1"/>
      <c r="DD112" s="1"/>
      <c r="DE112" s="1"/>
      <c r="DF112" s="1"/>
      <c r="DG112" s="1"/>
      <c r="DH112" s="1"/>
      <c r="DI112" s="1"/>
      <c r="DJ112" s="1"/>
      <c r="DK112" s="1"/>
      <c r="DL112" s="1"/>
      <c r="DM112" s="1"/>
      <c r="DN112" s="6"/>
      <c r="DO112" s="1"/>
      <c r="DP112" s="1">
        <v>1</v>
      </c>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256"/>
    </row>
    <row r="113" spans="1:162" ht="7.5" customHeight="1">
      <c r="A113" s="1"/>
      <c r="B113" s="1"/>
      <c r="C113" s="4"/>
      <c r="D113" s="1"/>
      <c r="E113" s="1"/>
      <c r="F113" s="1"/>
      <c r="G113" s="1"/>
      <c r="H113" s="1"/>
      <c r="I113" s="1"/>
      <c r="J113" s="1"/>
      <c r="K113" s="1"/>
      <c r="L113" s="1"/>
      <c r="M113" s="1"/>
      <c r="N113" s="1"/>
      <c r="O113" s="1"/>
      <c r="P113" s="1"/>
      <c r="Q113" s="77"/>
      <c r="R113" s="71"/>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71"/>
      <c r="BI113" s="71"/>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76"/>
      <c r="DA113" s="1"/>
      <c r="DB113" s="1"/>
      <c r="DC113" s="1"/>
      <c r="DD113" s="1"/>
      <c r="DE113" s="1"/>
      <c r="DF113" s="1"/>
      <c r="DG113" s="1"/>
      <c r="DH113" s="1"/>
      <c r="DI113" s="1"/>
      <c r="DJ113" s="1"/>
      <c r="DK113" s="1"/>
      <c r="DL113" s="1"/>
      <c r="DM113" s="1"/>
      <c r="DN113" s="6"/>
      <c r="DO113" s="1"/>
      <c r="DP113" s="1">
        <v>1</v>
      </c>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256"/>
    </row>
    <row r="114" spans="1:162" ht="7.5" customHeight="1">
      <c r="A114" s="1"/>
      <c r="B114" s="1"/>
      <c r="C114" s="4"/>
      <c r="D114" s="1"/>
      <c r="E114" s="1"/>
      <c r="F114" s="1"/>
      <c r="G114" s="1"/>
      <c r="H114" s="1"/>
      <c r="I114" s="1"/>
      <c r="J114" s="1"/>
      <c r="K114" s="1"/>
      <c r="L114" s="1"/>
      <c r="M114" s="1"/>
      <c r="N114" s="1"/>
      <c r="O114" s="1"/>
      <c r="P114" s="1"/>
      <c r="Q114" s="77"/>
      <c r="R114" s="71"/>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71"/>
      <c r="BI114" s="71"/>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76"/>
      <c r="DA114" s="1"/>
      <c r="DB114" s="1"/>
      <c r="DC114" s="1"/>
      <c r="DD114" s="1"/>
      <c r="DE114" s="1"/>
      <c r="DF114" s="1"/>
      <c r="DG114" s="1"/>
      <c r="DH114" s="1"/>
      <c r="DI114" s="1"/>
      <c r="DJ114" s="1"/>
      <c r="DK114" s="1"/>
      <c r="DL114" s="1"/>
      <c r="DM114" s="1"/>
      <c r="DN114" s="6"/>
      <c r="DO114" s="1"/>
      <c r="DP114" s="1">
        <v>1</v>
      </c>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256"/>
    </row>
    <row r="115" spans="1:162" ht="7.5" customHeight="1">
      <c r="A115" s="1"/>
      <c r="B115" s="1"/>
      <c r="C115" s="4"/>
      <c r="D115" s="1"/>
      <c r="E115" s="1"/>
      <c r="F115" s="1"/>
      <c r="G115" s="1"/>
      <c r="H115" s="1"/>
      <c r="I115" s="1"/>
      <c r="J115" s="1"/>
      <c r="K115" s="1"/>
      <c r="L115" s="1"/>
      <c r="M115" s="1"/>
      <c r="N115" s="1"/>
      <c r="O115" s="1"/>
      <c r="P115" s="1"/>
      <c r="Q115" s="77"/>
      <c r="R115" s="71"/>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71"/>
      <c r="BI115" s="71"/>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76"/>
      <c r="DA115" s="1"/>
      <c r="DB115" s="1"/>
      <c r="DC115" s="1"/>
      <c r="DD115" s="1"/>
      <c r="DE115" s="1"/>
      <c r="DF115" s="1"/>
      <c r="DG115" s="1"/>
      <c r="DH115" s="1"/>
      <c r="DI115" s="1"/>
      <c r="DJ115" s="1"/>
      <c r="DK115" s="1"/>
      <c r="DL115" s="1"/>
      <c r="DM115" s="1"/>
      <c r="DN115" s="6"/>
      <c r="DO115" s="1"/>
      <c r="DP115" s="1">
        <v>1</v>
      </c>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256"/>
    </row>
    <row r="116" spans="1:162" ht="7.5" customHeight="1">
      <c r="A116" s="1"/>
      <c r="B116" s="1"/>
      <c r="C116" s="4"/>
      <c r="D116" s="1"/>
      <c r="E116" s="1"/>
      <c r="F116" s="1"/>
      <c r="G116" s="1"/>
      <c r="H116" s="1"/>
      <c r="I116" s="1"/>
      <c r="J116" s="1"/>
      <c r="K116" s="1"/>
      <c r="L116" s="1"/>
      <c r="M116" s="1"/>
      <c r="N116" s="1"/>
      <c r="O116" s="1"/>
      <c r="P116" s="1"/>
      <c r="Q116" s="78"/>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303"/>
      <c r="BK116" s="303"/>
      <c r="BL116" s="303"/>
      <c r="BM116" s="303"/>
      <c r="BN116" s="303"/>
      <c r="BO116" s="303"/>
      <c r="BP116" s="303"/>
      <c r="BQ116" s="303"/>
      <c r="BR116" s="303"/>
      <c r="BS116" s="303"/>
      <c r="BT116" s="303"/>
      <c r="BU116" s="303"/>
      <c r="BV116" s="303"/>
      <c r="BW116" s="303"/>
      <c r="BX116" s="303"/>
      <c r="BY116" s="303"/>
      <c r="BZ116" s="303"/>
      <c r="CA116" s="303"/>
      <c r="CB116" s="303"/>
      <c r="CC116" s="303"/>
      <c r="CD116" s="303"/>
      <c r="CE116" s="303"/>
      <c r="CF116" s="303"/>
      <c r="CG116" s="303"/>
      <c r="CH116" s="303"/>
      <c r="CI116" s="303"/>
      <c r="CJ116" s="303"/>
      <c r="CK116" s="303"/>
      <c r="CL116" s="303"/>
      <c r="CM116" s="303"/>
      <c r="CN116" s="303"/>
      <c r="CO116" s="303"/>
      <c r="CP116" s="303"/>
      <c r="CQ116" s="303"/>
      <c r="CR116" s="303"/>
      <c r="CS116" s="303"/>
      <c r="CT116" s="303"/>
      <c r="CU116" s="303"/>
      <c r="CV116" s="303"/>
      <c r="CW116" s="303"/>
      <c r="CX116" s="303"/>
      <c r="CY116" s="303"/>
      <c r="CZ116" s="80"/>
      <c r="DA116" s="1"/>
      <c r="DB116" s="1"/>
      <c r="DC116" s="1"/>
      <c r="DD116" s="1"/>
      <c r="DE116" s="1"/>
      <c r="DF116" s="1"/>
      <c r="DG116" s="1"/>
      <c r="DH116" s="1"/>
      <c r="DI116" s="1"/>
      <c r="DJ116" s="1"/>
      <c r="DK116" s="1"/>
      <c r="DL116" s="1"/>
      <c r="DM116" s="1"/>
      <c r="DN116" s="6"/>
      <c r="DO116" s="1"/>
      <c r="DP116" s="1">
        <v>1</v>
      </c>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256"/>
    </row>
    <row r="117" spans="1:162" ht="7.5" customHeight="1">
      <c r="A117" s="1"/>
      <c r="B117" s="1"/>
      <c r="C117" s="4"/>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6"/>
      <c r="DO117" s="1"/>
      <c r="DP117" s="1">
        <v>1</v>
      </c>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256"/>
    </row>
    <row r="118" spans="1:162" ht="7.5" customHeight="1">
      <c r="A118" s="1"/>
      <c r="B118" s="1"/>
      <c r="C118" s="4"/>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6"/>
      <c r="DO118" s="1"/>
      <c r="DP118" s="1">
        <v>1</v>
      </c>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256"/>
    </row>
    <row r="119" spans="1:162" ht="7.5" customHeight="1">
      <c r="A119" s="1"/>
      <c r="B119" s="1"/>
      <c r="C119" s="4"/>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6"/>
      <c r="DO119" s="1"/>
      <c r="DP119" s="1">
        <v>1</v>
      </c>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256"/>
    </row>
    <row r="120" spans="1:162" ht="7.5" customHeight="1">
      <c r="A120" s="1"/>
      <c r="B120" s="1"/>
      <c r="C120" s="4"/>
      <c r="D120" s="1"/>
      <c r="E120" s="1"/>
      <c r="F120" s="1"/>
      <c r="G120" s="1"/>
      <c r="H120" s="1"/>
      <c r="I120" s="1"/>
      <c r="J120" s="1"/>
      <c r="K120" s="1"/>
      <c r="L120" s="1"/>
      <c r="M120" s="1"/>
      <c r="N120" s="1"/>
      <c r="O120" s="1"/>
      <c r="P120" s="1"/>
      <c r="Q120" s="316" t="str">
        <f>VLOOKUP("ready",langTable,MATCH(langName,_lang!$A$1:$F$1,0),FALSE())</f>
        <v>&gt;&gt;&gt; READY? LET THE PREDICTIONS BEGIN! &lt;&lt;&lt;</v>
      </c>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7"/>
      <c r="CN120" s="317"/>
      <c r="CO120" s="317"/>
      <c r="CP120" s="317"/>
      <c r="CQ120" s="317"/>
      <c r="CR120" s="317"/>
      <c r="CS120" s="317"/>
      <c r="CT120" s="317"/>
      <c r="CU120" s="317"/>
      <c r="CV120" s="317"/>
      <c r="CW120" s="317"/>
      <c r="CX120" s="317"/>
      <c r="CY120" s="317"/>
      <c r="CZ120" s="318"/>
      <c r="DA120" s="1"/>
      <c r="DB120" s="1"/>
      <c r="DC120" s="1"/>
      <c r="DD120" s="1"/>
      <c r="DE120" s="1"/>
      <c r="DF120" s="1"/>
      <c r="DG120" s="1"/>
      <c r="DH120" s="1"/>
      <c r="DI120" s="1"/>
      <c r="DJ120" s="1"/>
      <c r="DK120" s="1"/>
      <c r="DL120" s="1"/>
      <c r="DM120" s="1"/>
      <c r="DN120" s="6"/>
      <c r="DO120" s="1"/>
      <c r="DP120" s="1">
        <v>1</v>
      </c>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256"/>
    </row>
    <row r="121" spans="1:162" ht="7.5" customHeight="1">
      <c r="A121" s="1"/>
      <c r="B121" s="1"/>
      <c r="C121" s="4"/>
      <c r="D121" s="1"/>
      <c r="E121" s="1"/>
      <c r="F121" s="1"/>
      <c r="G121" s="1"/>
      <c r="H121" s="1"/>
      <c r="I121" s="1"/>
      <c r="J121" s="1"/>
      <c r="K121" s="1"/>
      <c r="L121" s="1"/>
      <c r="M121" s="1"/>
      <c r="N121" s="1"/>
      <c r="O121" s="1"/>
      <c r="P121" s="1"/>
      <c r="Q121" s="319"/>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320"/>
      <c r="DA121" s="1"/>
      <c r="DB121" s="1"/>
      <c r="DC121" s="1"/>
      <c r="DD121" s="1"/>
      <c r="DE121" s="1"/>
      <c r="DF121" s="1"/>
      <c r="DG121" s="1"/>
      <c r="DH121" s="1"/>
      <c r="DI121" s="1"/>
      <c r="DJ121" s="1"/>
      <c r="DK121" s="1"/>
      <c r="DL121" s="1"/>
      <c r="DM121" s="1"/>
      <c r="DN121" s="6"/>
      <c r="DO121" s="1"/>
      <c r="DP121" s="1">
        <v>1</v>
      </c>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256"/>
    </row>
    <row r="122" spans="1:162" ht="7.5" customHeight="1">
      <c r="A122" s="1"/>
      <c r="B122" s="1"/>
      <c r="C122" s="4"/>
      <c r="D122" s="1"/>
      <c r="E122" s="1"/>
      <c r="F122" s="1"/>
      <c r="G122" s="1"/>
      <c r="H122" s="1"/>
      <c r="I122" s="1"/>
      <c r="J122" s="1"/>
      <c r="K122" s="1"/>
      <c r="L122" s="1"/>
      <c r="M122" s="1"/>
      <c r="N122" s="1"/>
      <c r="O122" s="1"/>
      <c r="P122" s="1"/>
      <c r="Q122" s="319"/>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320"/>
      <c r="DA122" s="1"/>
      <c r="DB122" s="1"/>
      <c r="DC122" s="1"/>
      <c r="DD122" s="1"/>
      <c r="DE122" s="1"/>
      <c r="DF122" s="1"/>
      <c r="DG122" s="1"/>
      <c r="DH122" s="1"/>
      <c r="DI122" s="1"/>
      <c r="DJ122" s="1"/>
      <c r="DK122" s="1"/>
      <c r="DL122" s="1"/>
      <c r="DM122" s="1"/>
      <c r="DN122" s="6"/>
      <c r="DO122" s="1"/>
      <c r="DP122" s="1">
        <v>1</v>
      </c>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256"/>
    </row>
    <row r="123" spans="1:162" ht="7.5" customHeight="1">
      <c r="A123" s="1"/>
      <c r="B123" s="1"/>
      <c r="C123" s="4"/>
      <c r="D123" s="1"/>
      <c r="E123" s="1"/>
      <c r="F123" s="1"/>
      <c r="G123" s="1"/>
      <c r="H123" s="1"/>
      <c r="I123" s="1"/>
      <c r="J123" s="1"/>
      <c r="K123" s="1"/>
      <c r="L123" s="1"/>
      <c r="M123" s="1"/>
      <c r="N123" s="1"/>
      <c r="O123" s="1"/>
      <c r="P123" s="1"/>
      <c r="Q123" s="319"/>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320"/>
      <c r="DA123" s="1"/>
      <c r="DB123" s="1"/>
      <c r="DC123" s="1"/>
      <c r="DD123" s="1"/>
      <c r="DE123" s="1"/>
      <c r="DF123" s="1"/>
      <c r="DG123" s="1"/>
      <c r="DH123" s="1"/>
      <c r="DI123" s="1"/>
      <c r="DJ123" s="1"/>
      <c r="DK123" s="1"/>
      <c r="DL123" s="1"/>
      <c r="DM123" s="1"/>
      <c r="DN123" s="6"/>
      <c r="DO123" s="1"/>
      <c r="DP123" s="1">
        <v>1</v>
      </c>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256"/>
    </row>
    <row r="124" spans="1:162" ht="7.5" customHeight="1">
      <c r="A124" s="1"/>
      <c r="B124" s="1"/>
      <c r="C124" s="4"/>
      <c r="D124" s="1"/>
      <c r="E124" s="1"/>
      <c r="F124" s="1"/>
      <c r="G124" s="1"/>
      <c r="H124" s="1"/>
      <c r="I124" s="1"/>
      <c r="J124" s="1"/>
      <c r="K124" s="1"/>
      <c r="L124" s="1"/>
      <c r="M124" s="1"/>
      <c r="N124" s="1"/>
      <c r="O124" s="1"/>
      <c r="P124" s="1"/>
      <c r="Q124" s="319"/>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320"/>
      <c r="DA124" s="1"/>
      <c r="DB124" s="1"/>
      <c r="DC124" s="1"/>
      <c r="DD124" s="1"/>
      <c r="DE124" s="1"/>
      <c r="DF124" s="1"/>
      <c r="DG124" s="1"/>
      <c r="DH124" s="1"/>
      <c r="DI124" s="1"/>
      <c r="DJ124" s="1"/>
      <c r="DK124" s="1"/>
      <c r="DL124" s="1"/>
      <c r="DM124" s="1"/>
      <c r="DN124" s="6"/>
      <c r="DO124" s="1"/>
      <c r="DP124" s="1">
        <v>1</v>
      </c>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256"/>
    </row>
    <row r="125" spans="1:162" ht="7.5" customHeight="1">
      <c r="A125" s="1"/>
      <c r="B125" s="1"/>
      <c r="C125" s="4"/>
      <c r="D125" s="1"/>
      <c r="E125" s="1"/>
      <c r="F125" s="1"/>
      <c r="G125" s="1"/>
      <c r="H125" s="1"/>
      <c r="I125" s="1"/>
      <c r="J125" s="1"/>
      <c r="K125" s="1"/>
      <c r="L125" s="1"/>
      <c r="M125" s="1"/>
      <c r="N125" s="1"/>
      <c r="O125" s="1"/>
      <c r="P125" s="1"/>
      <c r="Q125" s="11"/>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12"/>
      <c r="DA125" s="1"/>
      <c r="DB125" s="1"/>
      <c r="DC125" s="1"/>
      <c r="DD125" s="1"/>
      <c r="DE125" s="1"/>
      <c r="DF125" s="1"/>
      <c r="DG125" s="1"/>
      <c r="DH125" s="1"/>
      <c r="DI125" s="1"/>
      <c r="DJ125" s="1"/>
      <c r="DK125" s="1"/>
      <c r="DL125" s="1"/>
      <c r="DM125" s="1"/>
      <c r="DN125" s="6"/>
      <c r="DO125" s="1"/>
      <c r="DP125" s="1">
        <v>1</v>
      </c>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256"/>
    </row>
    <row r="126" spans="1:162" ht="7.5" customHeight="1">
      <c r="A126" s="1"/>
      <c r="B126" s="1"/>
      <c r="C126" s="4"/>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6"/>
      <c r="DO126" s="1"/>
      <c r="DP126" s="1">
        <v>1</v>
      </c>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256"/>
    </row>
    <row r="127" spans="1:162" ht="7.5" customHeight="1">
      <c r="A127" s="1"/>
      <c r="B127" s="1"/>
      <c r="C127" s="4"/>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6"/>
      <c r="DO127" s="1"/>
      <c r="DP127" s="1">
        <v>1</v>
      </c>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256"/>
    </row>
    <row r="128" spans="1:162" ht="7.5" customHeight="1">
      <c r="A128" s="1"/>
      <c r="B128" s="1"/>
      <c r="C128" s="4"/>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6"/>
      <c r="DO128" s="1"/>
      <c r="DP128" s="1">
        <v>1</v>
      </c>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256"/>
    </row>
    <row r="129" spans="1:162" ht="7.5" customHeight="1">
      <c r="A129" s="1"/>
      <c r="B129" s="1"/>
      <c r="C129" s="4"/>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6"/>
      <c r="DO129" s="1"/>
      <c r="DP129" s="1">
        <v>1</v>
      </c>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256"/>
    </row>
    <row r="130" spans="1:162" ht="7.5" customHeight="1">
      <c r="A130" s="1"/>
      <c r="B130" s="1"/>
      <c r="C130" s="4"/>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6"/>
      <c r="DO130" s="1"/>
      <c r="DP130" s="1">
        <v>1</v>
      </c>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256"/>
    </row>
    <row r="131" spans="1:162" ht="7.5" customHeight="1">
      <c r="A131" s="1"/>
      <c r="B131" s="1"/>
      <c r="C131" s="4"/>
      <c r="D131" s="1"/>
      <c r="E131" s="1"/>
      <c r="F131" s="1"/>
      <c r="G131" s="1"/>
      <c r="H131" s="1"/>
      <c r="I131" s="1"/>
      <c r="J131" s="1"/>
      <c r="K131" s="321" t="str">
        <f>VLOOKUP("charity_info",langTable,MATCH(langName,_lang!$A$1:$F$1,0),FALSE())</f>
        <v>©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v>
      </c>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c r="DM131" s="267"/>
      <c r="DN131" s="6"/>
      <c r="DO131" s="1"/>
      <c r="DP131" s="1">
        <v>1</v>
      </c>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256"/>
    </row>
    <row r="132" spans="1:162" ht="7.5" customHeight="1">
      <c r="A132" s="1"/>
      <c r="B132" s="1"/>
      <c r="C132" s="4"/>
      <c r="D132" s="1"/>
      <c r="E132" s="1"/>
      <c r="F132" s="1"/>
      <c r="G132" s="1"/>
      <c r="H132" s="1"/>
      <c r="I132" s="1"/>
      <c r="J132" s="1"/>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c r="DM132" s="267"/>
      <c r="DN132" s="6"/>
      <c r="DO132" s="1"/>
      <c r="DP132" s="1">
        <v>1</v>
      </c>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256"/>
    </row>
    <row r="133" spans="1:162" ht="7.5" customHeight="1">
      <c r="A133" s="1"/>
      <c r="B133" s="1"/>
      <c r="C133" s="4"/>
      <c r="D133" s="1"/>
      <c r="E133" s="1"/>
      <c r="F133" s="1"/>
      <c r="G133" s="1"/>
      <c r="H133" s="1"/>
      <c r="I133" s="1"/>
      <c r="J133" s="1"/>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6"/>
      <c r="DO133" s="1"/>
      <c r="DP133" s="1">
        <v>1</v>
      </c>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256"/>
    </row>
    <row r="134" spans="1:162" ht="7.5" customHeight="1">
      <c r="A134" s="1"/>
      <c r="B134" s="1"/>
      <c r="C134" s="4"/>
      <c r="D134" s="1"/>
      <c r="E134" s="1"/>
      <c r="F134" s="1"/>
      <c r="G134" s="1"/>
      <c r="H134" s="1"/>
      <c r="I134" s="1"/>
      <c r="J134" s="1"/>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c r="DM134" s="267"/>
      <c r="DN134" s="6"/>
      <c r="DO134" s="1"/>
      <c r="DP134" s="1">
        <v>1</v>
      </c>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256"/>
    </row>
    <row r="135" spans="1:162" ht="7.5" customHeight="1">
      <c r="A135" s="1"/>
      <c r="B135" s="1"/>
      <c r="C135" s="4"/>
      <c r="D135" s="1"/>
      <c r="E135" s="1"/>
      <c r="F135" s="1"/>
      <c r="G135" s="1"/>
      <c r="H135" s="1"/>
      <c r="I135" s="1"/>
      <c r="J135" s="1"/>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c r="DM135" s="267"/>
      <c r="DN135" s="6"/>
      <c r="DO135" s="1"/>
      <c r="DP135" s="1">
        <v>1</v>
      </c>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256"/>
    </row>
    <row r="136" spans="1:162" ht="7.5" customHeight="1">
      <c r="A136" s="1"/>
      <c r="B136" s="1"/>
      <c r="C136" s="4"/>
      <c r="D136" s="1"/>
      <c r="E136" s="1"/>
      <c r="F136" s="1"/>
      <c r="G136" s="1"/>
      <c r="H136" s="1"/>
      <c r="I136" s="1"/>
      <c r="J136" s="1"/>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c r="DM136" s="267"/>
      <c r="DN136" s="6"/>
      <c r="DO136" s="1"/>
      <c r="DP136" s="1">
        <v>1</v>
      </c>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256"/>
    </row>
    <row r="137" spans="1:162" ht="7.5" customHeight="1">
      <c r="A137" s="1"/>
      <c r="B137" s="1"/>
      <c r="C137" s="4"/>
      <c r="D137" s="1"/>
      <c r="E137" s="1"/>
      <c r="F137" s="1"/>
      <c r="G137" s="1"/>
      <c r="H137" s="1"/>
      <c r="I137" s="1"/>
      <c r="J137" s="1"/>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c r="DM137" s="267"/>
      <c r="DN137" s="6"/>
      <c r="DO137" s="1"/>
      <c r="DP137" s="1">
        <v>1</v>
      </c>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256"/>
    </row>
    <row r="138" spans="1:162" ht="7.5" customHeight="1">
      <c r="A138" s="1"/>
      <c r="B138" s="1"/>
      <c r="C138" s="4"/>
      <c r="D138" s="1"/>
      <c r="E138" s="1"/>
      <c r="F138" s="1"/>
      <c r="G138" s="1"/>
      <c r="H138" s="1"/>
      <c r="I138" s="1"/>
      <c r="J138" s="1"/>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c r="DM138" s="267"/>
      <c r="DN138" s="6"/>
      <c r="DO138" s="1"/>
      <c r="DP138" s="1">
        <v>1</v>
      </c>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256"/>
    </row>
    <row r="139" spans="1:162" ht="7.5" customHeight="1">
      <c r="A139" s="1"/>
      <c r="B139" s="1"/>
      <c r="C139" s="4"/>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6"/>
      <c r="DO139" s="1"/>
      <c r="DP139" s="1">
        <v>1</v>
      </c>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256"/>
    </row>
    <row r="140" spans="1:162" ht="7.5" customHeight="1">
      <c r="A140" s="1"/>
      <c r="B140" s="1"/>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1"/>
      <c r="DP140" s="1">
        <v>1</v>
      </c>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256"/>
    </row>
    <row r="141" spans="1:16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256"/>
    </row>
    <row r="142" spans="1:16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256"/>
    </row>
    <row r="143" spans="1:16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256"/>
    </row>
    <row r="144" spans="1:16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256"/>
    </row>
    <row r="145" spans="1:16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256"/>
    </row>
    <row r="146" spans="1:16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256"/>
    </row>
    <row r="147" spans="1:16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256"/>
    </row>
    <row r="148" spans="1:16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256"/>
    </row>
    <row r="149" spans="1:16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256"/>
    </row>
    <row r="150" spans="1:16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256"/>
    </row>
    <row r="151" spans="1:16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256"/>
    </row>
    <row r="152" spans="1:16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256"/>
    </row>
    <row r="153" spans="1:16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256"/>
    </row>
    <row r="154" spans="1:16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256"/>
    </row>
    <row r="155" spans="1:16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256"/>
    </row>
    <row r="156" spans="1:16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256"/>
    </row>
    <row r="157" spans="1:16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256"/>
    </row>
    <row r="158" spans="1:16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256"/>
    </row>
    <row r="159" spans="1:16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256"/>
    </row>
    <row r="160" spans="1:16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256"/>
    </row>
    <row r="161" spans="1:16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256"/>
    </row>
    <row r="162" spans="1: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256"/>
    </row>
    <row r="163" spans="1:162" ht="15.75" customHeight="1">
      <c r="A163" s="1"/>
      <c r="B163" s="1"/>
      <c r="C163" s="1"/>
      <c r="D163" s="293"/>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c r="DM163" s="267"/>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256"/>
    </row>
    <row r="164" spans="1:162" ht="15.75" customHeight="1">
      <c r="A164" s="1"/>
      <c r="B164" s="1"/>
      <c r="C164" s="1"/>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c r="DM164" s="267"/>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256"/>
    </row>
    <row r="165" spans="1:162" ht="15.75" customHeight="1">
      <c r="A165" s="1"/>
      <c r="B165" s="1"/>
      <c r="C165" s="1"/>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c r="DM165" s="267"/>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256"/>
    </row>
    <row r="166" spans="1:162" ht="15.75" customHeight="1">
      <c r="A166" s="1"/>
      <c r="B166" s="1"/>
      <c r="C166" s="1"/>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256"/>
    </row>
    <row r="167" spans="1:162" ht="15.75" customHeight="1">
      <c r="A167" s="1"/>
      <c r="B167" s="1"/>
      <c r="C167" s="1"/>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256"/>
    </row>
    <row r="168" spans="1:162" ht="15.75" customHeight="1">
      <c r="A168" s="1"/>
      <c r="B168" s="1"/>
      <c r="C168" s="1"/>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256"/>
    </row>
    <row r="169" spans="1:162" ht="15.75" customHeight="1">
      <c r="A169" s="1"/>
      <c r="B169" s="1"/>
      <c r="C169" s="1"/>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c r="DM169" s="267"/>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256"/>
    </row>
    <row r="170" spans="1:162" ht="15.75" customHeight="1">
      <c r="A170" s="1"/>
      <c r="B170" s="1"/>
      <c r="C170" s="1"/>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c r="DM170" s="267"/>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256"/>
    </row>
    <row r="171" spans="1:162" ht="15.75" customHeight="1">
      <c r="A171" s="1"/>
      <c r="B171" s="1"/>
      <c r="C171" s="1"/>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c r="DM171" s="267"/>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256"/>
    </row>
    <row r="172" spans="1:16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256"/>
    </row>
    <row r="173" spans="1:16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256"/>
    </row>
    <row r="174" spans="1:16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256"/>
    </row>
    <row r="175" spans="1:16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256"/>
    </row>
    <row r="176" spans="1:16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256"/>
    </row>
    <row r="177" spans="1:16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256"/>
    </row>
    <row r="178" spans="1:16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256"/>
    </row>
    <row r="179" spans="1:16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256"/>
    </row>
    <row r="180" spans="1:16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256"/>
    </row>
    <row r="181" spans="1:16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256"/>
    </row>
    <row r="182" spans="1:16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256"/>
    </row>
    <row r="183" spans="1:16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256"/>
    </row>
    <row r="184" spans="1:16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v>1</v>
      </c>
      <c r="FF184" s="256"/>
    </row>
    <row r="185" spans="1:16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256"/>
    </row>
    <row r="186" spans="1:16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256"/>
    </row>
    <row r="187" spans="1:16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256"/>
    </row>
    <row r="188" spans="1:16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256"/>
    </row>
    <row r="189" spans="1:16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256"/>
    </row>
    <row r="190" spans="1:16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256"/>
    </row>
    <row r="191" spans="1:16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256"/>
    </row>
    <row r="192" spans="1:16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256"/>
    </row>
    <row r="193" spans="1:16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256"/>
    </row>
    <row r="194" spans="1:16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256"/>
    </row>
    <row r="195" spans="1:16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256"/>
    </row>
    <row r="196" spans="1:16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256"/>
    </row>
    <row r="197" spans="1:16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256"/>
    </row>
    <row r="198" spans="1:16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256"/>
    </row>
    <row r="199" spans="1:16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256"/>
    </row>
    <row r="200" spans="1:16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256"/>
    </row>
    <row r="201" spans="1:16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256"/>
    </row>
    <row r="202" spans="1:16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256"/>
    </row>
    <row r="203" spans="1:16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256"/>
    </row>
    <row r="204" spans="1:16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256"/>
    </row>
    <row r="205" spans="1:16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256"/>
    </row>
    <row r="206" spans="1:16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256"/>
    </row>
    <row r="207" spans="1:16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256"/>
    </row>
    <row r="208" spans="1:16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256"/>
    </row>
    <row r="209" spans="1:16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256"/>
    </row>
    <row r="210" spans="1:16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256"/>
    </row>
    <row r="211" spans="1:16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256"/>
    </row>
    <row r="212" spans="1:16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256"/>
    </row>
    <row r="213" spans="1:16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256"/>
    </row>
    <row r="214" spans="1:16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256"/>
    </row>
    <row r="215" spans="1:16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256"/>
    </row>
    <row r="216" spans="1:16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256"/>
    </row>
    <row r="217" spans="1:16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256"/>
    </row>
    <row r="218" spans="1:16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256"/>
    </row>
    <row r="219" spans="1:16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256"/>
    </row>
    <row r="220" spans="1:16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256"/>
    </row>
    <row r="221" spans="1:16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256"/>
    </row>
    <row r="222" spans="1:16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256"/>
    </row>
    <row r="223" spans="1:16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256"/>
    </row>
    <row r="224" spans="1:16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256"/>
    </row>
    <row r="225" spans="1:16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256"/>
    </row>
    <row r="226" spans="1:16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256"/>
    </row>
    <row r="227" spans="1:16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256"/>
    </row>
    <row r="228" spans="1:16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256"/>
    </row>
    <row r="229" spans="1:16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256"/>
    </row>
    <row r="230" spans="1:16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256"/>
    </row>
    <row r="231" spans="1:16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256"/>
    </row>
    <row r="232" spans="1:16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256"/>
    </row>
    <row r="233" spans="1:16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256"/>
    </row>
    <row r="234" spans="1:16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256"/>
    </row>
    <row r="235" spans="1:16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256"/>
    </row>
    <row r="236" spans="1:16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256"/>
    </row>
    <row r="237" spans="1:16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256"/>
    </row>
    <row r="238" spans="1:16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256"/>
    </row>
    <row r="239" spans="1:16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256"/>
    </row>
    <row r="240" spans="1:16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256"/>
    </row>
    <row r="241" spans="1:16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256"/>
    </row>
    <row r="242" spans="1:16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256"/>
    </row>
    <row r="243" spans="1:16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256"/>
    </row>
    <row r="244" spans="1:16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256"/>
    </row>
    <row r="245" spans="1:16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256"/>
    </row>
    <row r="246" spans="1:16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256"/>
    </row>
    <row r="247" spans="1:16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256"/>
    </row>
    <row r="248" spans="1:16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256"/>
    </row>
    <row r="249" spans="1:16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256"/>
    </row>
    <row r="250" spans="1:16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256"/>
    </row>
    <row r="251" spans="1:16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256"/>
    </row>
    <row r="252" spans="1:16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256"/>
    </row>
    <row r="253" spans="1:16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256"/>
    </row>
    <row r="254" spans="1:16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256"/>
    </row>
    <row r="255" spans="1:16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256"/>
    </row>
    <row r="256" spans="1:16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256"/>
    </row>
    <row r="257" spans="1:16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256"/>
    </row>
    <row r="258" spans="1:16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256"/>
    </row>
    <row r="259" spans="1:16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256"/>
    </row>
    <row r="260" spans="1:16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256"/>
    </row>
    <row r="261" spans="1:16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256"/>
    </row>
    <row r="262" spans="1:1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256"/>
    </row>
    <row r="263" spans="1:16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256"/>
    </row>
    <row r="264" spans="1:16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256"/>
    </row>
    <row r="265" spans="1:16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256"/>
    </row>
    <row r="266" spans="1:16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256"/>
    </row>
    <row r="267" spans="1:16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256"/>
    </row>
    <row r="268" spans="1:16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256"/>
    </row>
    <row r="269" spans="1:16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256"/>
    </row>
    <row r="270" spans="1:16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256"/>
    </row>
    <row r="271" spans="1:16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256"/>
    </row>
    <row r="272" spans="1:16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256"/>
    </row>
    <row r="273" spans="1:16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256"/>
    </row>
    <row r="274" spans="1:16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256"/>
    </row>
    <row r="275" spans="1:16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256"/>
    </row>
    <row r="276" spans="1:16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256"/>
    </row>
    <row r="277" spans="1:16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256"/>
    </row>
    <row r="278" spans="1:16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256"/>
    </row>
    <row r="279" spans="1:16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256"/>
    </row>
    <row r="280" spans="1:16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256"/>
    </row>
    <row r="281" spans="1:16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256"/>
    </row>
    <row r="282" spans="1:16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256"/>
    </row>
    <row r="283" spans="1:16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256"/>
    </row>
    <row r="284" spans="1:16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256"/>
    </row>
    <row r="285" spans="1:16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256"/>
    </row>
    <row r="286" spans="1:16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256"/>
    </row>
    <row r="287" spans="1:16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256"/>
    </row>
    <row r="288" spans="1:16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256"/>
    </row>
    <row r="289" spans="1:16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256"/>
    </row>
    <row r="290" spans="1:16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256"/>
    </row>
    <row r="291" spans="1:16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256"/>
    </row>
    <row r="292" spans="1:16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256"/>
    </row>
    <row r="293" spans="1:16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256"/>
    </row>
    <row r="294" spans="1:16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256"/>
    </row>
    <row r="295" spans="1:16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256"/>
    </row>
    <row r="296" spans="1:16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256"/>
    </row>
    <row r="297" spans="1:16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256"/>
    </row>
    <row r="298" spans="1:16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256"/>
    </row>
    <row r="299" spans="1:16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256"/>
    </row>
    <row r="300" spans="1:16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256"/>
    </row>
    <row r="301" spans="1:16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256"/>
    </row>
    <row r="302" spans="1:16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256"/>
    </row>
    <row r="303" spans="1:16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256"/>
    </row>
    <row r="304" spans="1:16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256"/>
    </row>
    <row r="305" spans="1:16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256"/>
    </row>
    <row r="306" spans="1:16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256"/>
    </row>
    <row r="307" spans="1:16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256"/>
    </row>
    <row r="308" spans="1:16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256"/>
    </row>
    <row r="309" spans="1:16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256"/>
    </row>
    <row r="310" spans="1:16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256"/>
    </row>
    <row r="311" spans="1:16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256"/>
    </row>
    <row r="312" spans="1:16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256"/>
    </row>
    <row r="313" spans="1:16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256"/>
    </row>
    <row r="314" spans="1:16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256"/>
    </row>
    <row r="315" spans="1:16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256"/>
    </row>
    <row r="316" spans="1:16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256"/>
    </row>
    <row r="317" spans="1:16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256"/>
    </row>
    <row r="318" spans="1:16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256"/>
    </row>
    <row r="319" spans="1:16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256"/>
    </row>
    <row r="320" spans="1:16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256"/>
    </row>
    <row r="321" spans="1:16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256"/>
    </row>
    <row r="322" spans="1:16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256"/>
    </row>
    <row r="323" spans="1:16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256"/>
    </row>
    <row r="324" spans="1:16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256"/>
    </row>
    <row r="325" spans="1:16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256"/>
    </row>
    <row r="326" spans="1:16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256"/>
    </row>
    <row r="327" spans="1:16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256"/>
    </row>
    <row r="328" spans="1:16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256"/>
    </row>
    <row r="329" spans="1:16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256"/>
    </row>
    <row r="330" spans="1:16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256"/>
    </row>
    <row r="331" spans="1:16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256"/>
    </row>
    <row r="332" spans="1:16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256"/>
    </row>
    <row r="333" spans="1:16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256"/>
    </row>
    <row r="334" spans="1:16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256"/>
    </row>
    <row r="335" spans="1:16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256"/>
    </row>
    <row r="336" spans="1:16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256"/>
    </row>
    <row r="337" spans="1:16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256"/>
    </row>
    <row r="338" spans="1:16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256"/>
    </row>
    <row r="339" spans="1:16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256"/>
    </row>
    <row r="340" spans="1:16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256"/>
    </row>
    <row r="341" spans="1:16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256"/>
    </row>
    <row r="342" spans="1:16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256"/>
    </row>
    <row r="343" spans="1:16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256"/>
    </row>
    <row r="344" spans="1:16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256"/>
    </row>
    <row r="345" spans="1:16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256"/>
    </row>
    <row r="346" spans="1:16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256"/>
    </row>
    <row r="347" spans="1:16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256"/>
    </row>
    <row r="348" spans="1:16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256"/>
    </row>
    <row r="349" spans="1:16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256"/>
    </row>
    <row r="350" spans="1:16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256"/>
    </row>
    <row r="351" spans="1:16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256"/>
    </row>
    <row r="352" spans="1:16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256"/>
    </row>
    <row r="353" spans="1:16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256"/>
    </row>
    <row r="354" spans="1:16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256"/>
    </row>
    <row r="355" spans="1:16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256"/>
    </row>
    <row r="356" spans="1:16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256"/>
    </row>
    <row r="357" spans="1:16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256"/>
    </row>
    <row r="358" spans="1:16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256"/>
    </row>
    <row r="359" spans="1:16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256"/>
    </row>
    <row r="360" spans="1:16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256"/>
    </row>
    <row r="361" spans="1:16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256"/>
    </row>
    <row r="362" spans="1:1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256"/>
    </row>
    <row r="363" spans="1:16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256"/>
    </row>
    <row r="364" spans="1:16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256"/>
    </row>
    <row r="365" spans="1:16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256"/>
    </row>
    <row r="366" spans="1:16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256"/>
    </row>
    <row r="367" spans="1:16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256"/>
    </row>
    <row r="368" spans="1:16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256"/>
    </row>
    <row r="369" spans="1:16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256"/>
    </row>
    <row r="370" spans="1:16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256"/>
    </row>
    <row r="371" spans="1:16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256"/>
    </row>
    <row r="372" spans="1:16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256"/>
    </row>
    <row r="373" spans="1:16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256"/>
    </row>
    <row r="374" spans="1:16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256"/>
    </row>
    <row r="375" spans="1:16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256"/>
    </row>
    <row r="376" spans="1:16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256"/>
    </row>
    <row r="377" spans="1:16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256"/>
    </row>
    <row r="378" spans="1:16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256"/>
    </row>
    <row r="379" spans="1:16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256"/>
    </row>
    <row r="380" spans="1:16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256"/>
    </row>
    <row r="381" spans="1:16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256"/>
    </row>
    <row r="382" spans="1:16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256"/>
    </row>
    <row r="383" spans="1:16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256"/>
    </row>
    <row r="384" spans="1:16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256"/>
    </row>
    <row r="385" spans="1:16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256"/>
    </row>
    <row r="386" spans="1:16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256"/>
    </row>
    <row r="387" spans="1:16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256"/>
    </row>
    <row r="388" spans="1:16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256"/>
    </row>
    <row r="389" spans="1:16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256"/>
    </row>
    <row r="390" spans="1:16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256"/>
    </row>
    <row r="391" spans="1:16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256"/>
    </row>
    <row r="392" spans="1:16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256"/>
    </row>
    <row r="393" spans="1:16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256"/>
    </row>
    <row r="394" spans="1:16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256"/>
    </row>
    <row r="395" spans="1:16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256"/>
    </row>
    <row r="396" spans="1:16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256"/>
    </row>
    <row r="397" spans="1:16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256"/>
    </row>
    <row r="398" spans="1:16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256"/>
    </row>
    <row r="399" spans="1:16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256"/>
    </row>
    <row r="400" spans="1:16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256"/>
    </row>
    <row r="401" spans="1:16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256"/>
    </row>
    <row r="402" spans="1:16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256"/>
    </row>
    <row r="403" spans="1:16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256"/>
    </row>
    <row r="404" spans="1:16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256"/>
    </row>
    <row r="405" spans="1:16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256"/>
    </row>
    <row r="406" spans="1:16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256"/>
    </row>
    <row r="407" spans="1:16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256"/>
    </row>
    <row r="408" spans="1:16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256"/>
    </row>
    <row r="409" spans="1:16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256"/>
    </row>
    <row r="410" spans="1:16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256"/>
    </row>
    <row r="411" spans="1:16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256"/>
    </row>
    <row r="412" spans="1:16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256"/>
    </row>
    <row r="413" spans="1:16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256"/>
    </row>
    <row r="414" spans="1:16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256"/>
    </row>
    <row r="415" spans="1:16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256"/>
    </row>
    <row r="416" spans="1:16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256"/>
    </row>
    <row r="417" spans="1:16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256"/>
    </row>
    <row r="418" spans="1:16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256"/>
    </row>
    <row r="419" spans="1:16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256"/>
    </row>
    <row r="420" spans="1:16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256"/>
    </row>
    <row r="421" spans="1:16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256"/>
    </row>
    <row r="422" spans="1:16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256"/>
    </row>
    <row r="423" spans="1:16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256"/>
    </row>
    <row r="424" spans="1:16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256"/>
    </row>
    <row r="425" spans="1:16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256"/>
    </row>
    <row r="426" spans="1:16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256"/>
    </row>
    <row r="427" spans="1:16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256"/>
    </row>
    <row r="428" spans="1:16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256"/>
    </row>
    <row r="429" spans="1:16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256"/>
    </row>
    <row r="430" spans="1:16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256"/>
    </row>
    <row r="431" spans="1:16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256"/>
    </row>
    <row r="432" spans="1:16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256"/>
    </row>
    <row r="433" spans="1:16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256"/>
    </row>
    <row r="434" spans="1:16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256"/>
    </row>
    <row r="435" spans="1:16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256"/>
    </row>
    <row r="436" spans="1:16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256"/>
    </row>
    <row r="437" spans="1:16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256"/>
    </row>
    <row r="438" spans="1:16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256"/>
    </row>
    <row r="439" spans="1:16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256"/>
    </row>
    <row r="440" spans="1:16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256"/>
    </row>
    <row r="441" spans="1:16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256"/>
    </row>
    <row r="442" spans="1:16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256"/>
    </row>
    <row r="443" spans="1:16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256"/>
    </row>
    <row r="444" spans="1:16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256"/>
    </row>
    <row r="445" spans="1:16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256"/>
    </row>
    <row r="446" spans="1:16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256"/>
    </row>
    <row r="447" spans="1:16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256"/>
    </row>
    <row r="448" spans="1:16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256"/>
    </row>
    <row r="449" spans="1:16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256"/>
    </row>
    <row r="450" spans="1:16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256"/>
    </row>
    <row r="451" spans="1:16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256"/>
    </row>
    <row r="452" spans="1:16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256"/>
    </row>
    <row r="453" spans="1:16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256"/>
    </row>
    <row r="454" spans="1:16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256"/>
    </row>
    <row r="455" spans="1:16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256"/>
    </row>
    <row r="456" spans="1:16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256"/>
    </row>
    <row r="457" spans="1:16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256"/>
    </row>
    <row r="458" spans="1:16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256"/>
    </row>
    <row r="459" spans="1:16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256"/>
    </row>
    <row r="460" spans="1:16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256"/>
    </row>
    <row r="461" spans="1:16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256"/>
    </row>
    <row r="462" spans="1:1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256"/>
    </row>
    <row r="463" spans="1:16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256"/>
    </row>
    <row r="464" spans="1:16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256"/>
    </row>
    <row r="465" spans="1:16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256"/>
    </row>
    <row r="466" spans="1:16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256"/>
    </row>
    <row r="467" spans="1:16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256"/>
    </row>
    <row r="468" spans="1:16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256"/>
    </row>
    <row r="469" spans="1:16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256"/>
    </row>
    <row r="470" spans="1:16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256"/>
    </row>
    <row r="471" spans="1:16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256"/>
    </row>
    <row r="472" spans="1:16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256"/>
    </row>
    <row r="473" spans="1:16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256"/>
    </row>
    <row r="474" spans="1:16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256"/>
    </row>
    <row r="475" spans="1:16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256"/>
    </row>
    <row r="476" spans="1:16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256"/>
    </row>
    <row r="477" spans="1:16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256"/>
    </row>
    <row r="478" spans="1:16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256"/>
    </row>
    <row r="479" spans="1:16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256"/>
    </row>
    <row r="480" spans="1:16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256"/>
    </row>
    <row r="481" spans="1:16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256"/>
    </row>
    <row r="482" spans="1:16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256"/>
    </row>
    <row r="483" spans="1:16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256"/>
    </row>
    <row r="484" spans="1:16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256"/>
    </row>
    <row r="485" spans="1:16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256"/>
    </row>
    <row r="486" spans="1:16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256"/>
    </row>
    <row r="487" spans="1:16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256"/>
    </row>
    <row r="488" spans="1:16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256"/>
    </row>
    <row r="489" spans="1:16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256"/>
    </row>
    <row r="490" spans="1:16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256"/>
    </row>
    <row r="491" spans="1:16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256"/>
    </row>
    <row r="492" spans="1:16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256"/>
    </row>
    <row r="493" spans="1:16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256"/>
    </row>
    <row r="494" spans="1:16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256"/>
    </row>
    <row r="495" spans="1:16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256"/>
    </row>
    <row r="496" spans="1:16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256"/>
    </row>
    <row r="497" spans="1:16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256"/>
    </row>
    <row r="498" spans="1:16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256"/>
    </row>
    <row r="499" spans="1:16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256"/>
    </row>
    <row r="500" spans="1:16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256"/>
    </row>
    <row r="501" spans="1:16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256"/>
    </row>
    <row r="502" spans="1:16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256"/>
    </row>
    <row r="503" spans="1:16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256"/>
    </row>
    <row r="504" spans="1:16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256"/>
    </row>
    <row r="505" spans="1:16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256"/>
    </row>
    <row r="506" spans="1:16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256"/>
    </row>
    <row r="507" spans="1:16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256"/>
    </row>
    <row r="508" spans="1:16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256"/>
    </row>
    <row r="509" spans="1:16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256"/>
    </row>
    <row r="510" spans="1:16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256"/>
    </row>
    <row r="511" spans="1:16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256"/>
    </row>
    <row r="512" spans="1:16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256"/>
    </row>
    <row r="513" spans="1:16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256"/>
    </row>
    <row r="514" spans="1:16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256"/>
    </row>
    <row r="515" spans="1:16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256"/>
    </row>
    <row r="516" spans="1:16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256"/>
    </row>
    <row r="517" spans="1:16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256"/>
    </row>
    <row r="518" spans="1:16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256"/>
    </row>
    <row r="519" spans="1:16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256"/>
    </row>
    <row r="520" spans="1:16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256"/>
    </row>
    <row r="521" spans="1:16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256"/>
    </row>
    <row r="522" spans="1:16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256"/>
    </row>
    <row r="523" spans="1:16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256"/>
    </row>
    <row r="524" spans="1:16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256"/>
    </row>
    <row r="525" spans="1:16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256"/>
    </row>
    <row r="526" spans="1:16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256"/>
    </row>
    <row r="527" spans="1:16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256"/>
    </row>
    <row r="528" spans="1:16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256"/>
    </row>
    <row r="529" spans="1:16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256"/>
    </row>
    <row r="530" spans="1:16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256"/>
    </row>
    <row r="531" spans="1:16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256"/>
    </row>
    <row r="532" spans="1:16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256"/>
    </row>
    <row r="533" spans="1:16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256"/>
    </row>
    <row r="534" spans="1:16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256"/>
    </row>
    <row r="535" spans="1:16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256"/>
    </row>
    <row r="536" spans="1:16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256"/>
    </row>
    <row r="537" spans="1:16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256"/>
    </row>
    <row r="538" spans="1:16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256"/>
    </row>
    <row r="539" spans="1:16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256"/>
    </row>
    <row r="540" spans="1:16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256"/>
    </row>
    <row r="541" spans="1:16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256"/>
    </row>
    <row r="542" spans="1:16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256"/>
    </row>
    <row r="543" spans="1:16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256"/>
    </row>
    <row r="544" spans="1:16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256"/>
    </row>
    <row r="545" spans="1:16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256"/>
    </row>
    <row r="546" spans="1:16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256"/>
    </row>
    <row r="547" spans="1:16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256"/>
    </row>
    <row r="548" spans="1:16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256"/>
    </row>
    <row r="549" spans="1:16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256"/>
    </row>
    <row r="550" spans="1:16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256"/>
    </row>
    <row r="551" spans="1:16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256"/>
    </row>
    <row r="552" spans="1:16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256"/>
    </row>
    <row r="553" spans="1:16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256"/>
    </row>
    <row r="554" spans="1:16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256"/>
    </row>
    <row r="555" spans="1:16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256"/>
    </row>
    <row r="556" spans="1:16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256"/>
    </row>
    <row r="557" spans="1:16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256"/>
    </row>
    <row r="558" spans="1:16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256"/>
    </row>
    <row r="559" spans="1:16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256"/>
    </row>
    <row r="560" spans="1:16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256"/>
    </row>
    <row r="561" spans="1:16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256"/>
    </row>
    <row r="562" spans="1:1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256"/>
    </row>
    <row r="563" spans="1:16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256"/>
    </row>
    <row r="564" spans="1:16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256"/>
    </row>
    <row r="565" spans="1:16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256"/>
    </row>
    <row r="566" spans="1:16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256"/>
    </row>
    <row r="567" spans="1:16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256"/>
    </row>
    <row r="568" spans="1:16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256"/>
    </row>
    <row r="569" spans="1:16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256"/>
    </row>
    <row r="570" spans="1:16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256"/>
    </row>
    <row r="571" spans="1:16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256"/>
    </row>
    <row r="572" spans="1:16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256"/>
    </row>
    <row r="573" spans="1:16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256"/>
    </row>
    <row r="574" spans="1:16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256"/>
    </row>
    <row r="575" spans="1:16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256"/>
    </row>
    <row r="576" spans="1:16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256"/>
    </row>
    <row r="577" spans="1:16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256"/>
    </row>
    <row r="578" spans="1:16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256"/>
    </row>
    <row r="579" spans="1:16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256"/>
    </row>
    <row r="580" spans="1:16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256"/>
    </row>
    <row r="581" spans="1:16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256"/>
    </row>
    <row r="582" spans="1:16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256"/>
    </row>
    <row r="583" spans="1:16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256"/>
    </row>
    <row r="584" spans="1:16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256"/>
    </row>
    <row r="585" spans="1:16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256"/>
    </row>
    <row r="586" spans="1:16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256"/>
    </row>
    <row r="587" spans="1:16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256"/>
    </row>
    <row r="588" spans="1:16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256"/>
    </row>
    <row r="589" spans="1:16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256"/>
    </row>
    <row r="590" spans="1:16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256"/>
    </row>
    <row r="591" spans="1:16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256"/>
    </row>
    <row r="592" spans="1:16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256"/>
    </row>
    <row r="593" spans="1:16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256"/>
    </row>
    <row r="594" spans="1:16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256"/>
    </row>
    <row r="595" spans="1:16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256"/>
    </row>
    <row r="596" spans="1:16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256"/>
    </row>
    <row r="597" spans="1:16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256"/>
    </row>
    <row r="598" spans="1:16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256"/>
    </row>
    <row r="599" spans="1:16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256"/>
    </row>
    <row r="600" spans="1:16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256"/>
    </row>
    <row r="601" spans="1:16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256"/>
    </row>
    <row r="602" spans="1:16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256"/>
    </row>
    <row r="603" spans="1:16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256"/>
    </row>
    <row r="604" spans="1:16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256"/>
    </row>
    <row r="605" spans="1:16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256"/>
    </row>
    <row r="606" spans="1:16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256"/>
    </row>
    <row r="607" spans="1:16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256"/>
    </row>
    <row r="608" spans="1:16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256"/>
    </row>
    <row r="609" spans="1:16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256"/>
    </row>
    <row r="610" spans="1:16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256"/>
    </row>
    <row r="611" spans="1:16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256"/>
    </row>
    <row r="612" spans="1:16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256"/>
    </row>
    <row r="613" spans="1:16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256"/>
    </row>
    <row r="614" spans="1:16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256"/>
    </row>
    <row r="615" spans="1:16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256"/>
    </row>
    <row r="616" spans="1:16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256"/>
    </row>
    <row r="617" spans="1:16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256"/>
    </row>
    <row r="618" spans="1:16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256"/>
    </row>
    <row r="619" spans="1:16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256"/>
    </row>
    <row r="620" spans="1:16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256"/>
    </row>
    <row r="621" spans="1:16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256"/>
    </row>
    <row r="622" spans="1:16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256"/>
    </row>
    <row r="623" spans="1:16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256"/>
    </row>
    <row r="624" spans="1:16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256"/>
    </row>
    <row r="625" spans="1:16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256"/>
    </row>
    <row r="626" spans="1:16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256"/>
    </row>
    <row r="627" spans="1:16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256"/>
    </row>
    <row r="628" spans="1:16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256"/>
    </row>
    <row r="629" spans="1:16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256"/>
    </row>
    <row r="630" spans="1:16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256"/>
    </row>
    <row r="631" spans="1:16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256"/>
    </row>
    <row r="632" spans="1:16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256"/>
    </row>
    <row r="633" spans="1:16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256"/>
    </row>
    <row r="634" spans="1:16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256"/>
    </row>
    <row r="635" spans="1:16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256"/>
    </row>
    <row r="636" spans="1:16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256"/>
    </row>
    <row r="637" spans="1:16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256"/>
    </row>
    <row r="638" spans="1:16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256"/>
    </row>
    <row r="639" spans="1:16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256"/>
    </row>
    <row r="640" spans="1:16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256"/>
    </row>
    <row r="641" spans="1:16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256"/>
    </row>
    <row r="642" spans="1:16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256"/>
    </row>
    <row r="643" spans="1:16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256"/>
    </row>
    <row r="644" spans="1:16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256"/>
    </row>
    <row r="645" spans="1:16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256"/>
    </row>
    <row r="646" spans="1:16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256"/>
    </row>
    <row r="647" spans="1:16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256"/>
    </row>
    <row r="648" spans="1:16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256"/>
    </row>
    <row r="649" spans="1:16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256"/>
    </row>
    <row r="650" spans="1:16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256"/>
    </row>
    <row r="651" spans="1:16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256"/>
    </row>
    <row r="652" spans="1:16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256"/>
    </row>
    <row r="653" spans="1:16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256"/>
    </row>
    <row r="654" spans="1:16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256"/>
    </row>
    <row r="655" spans="1:16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256"/>
    </row>
    <row r="656" spans="1:16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256"/>
    </row>
    <row r="657" spans="1:16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256"/>
    </row>
    <row r="658" spans="1:16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256"/>
    </row>
    <row r="659" spans="1:16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256"/>
    </row>
    <row r="660" spans="1:16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256"/>
    </row>
    <row r="661" spans="1:16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256"/>
    </row>
    <row r="662" spans="1:1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256"/>
    </row>
    <row r="663" spans="1:16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256"/>
    </row>
    <row r="664" spans="1:16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256"/>
    </row>
    <row r="665" spans="1:16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256"/>
    </row>
    <row r="666" spans="1:16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256"/>
    </row>
    <row r="667" spans="1:16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256"/>
    </row>
    <row r="668" spans="1:16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256"/>
    </row>
    <row r="669" spans="1:16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256"/>
    </row>
    <row r="670" spans="1:16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256"/>
    </row>
    <row r="671" spans="1:16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256"/>
    </row>
    <row r="672" spans="1:16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256"/>
    </row>
    <row r="673" spans="1:16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256"/>
    </row>
    <row r="674" spans="1:16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256"/>
    </row>
    <row r="675" spans="1:16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256"/>
    </row>
    <row r="676" spans="1:16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256"/>
    </row>
    <row r="677" spans="1:16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256"/>
    </row>
    <row r="678" spans="1:16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256"/>
    </row>
    <row r="679" spans="1:16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256"/>
    </row>
    <row r="680" spans="1:16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256"/>
    </row>
    <row r="681" spans="1:16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256"/>
    </row>
    <row r="682" spans="1:16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256"/>
    </row>
    <row r="683" spans="1:16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256"/>
    </row>
    <row r="684" spans="1:16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256"/>
    </row>
    <row r="685" spans="1:16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256"/>
    </row>
    <row r="686" spans="1:16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256"/>
    </row>
    <row r="687" spans="1:16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256"/>
    </row>
    <row r="688" spans="1:16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256"/>
    </row>
    <row r="689" spans="1:16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256"/>
    </row>
    <row r="690" spans="1:16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256"/>
    </row>
    <row r="691" spans="1:16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256"/>
    </row>
    <row r="692" spans="1:16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256"/>
    </row>
    <row r="693" spans="1:16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256"/>
    </row>
    <row r="694" spans="1:16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256"/>
    </row>
    <row r="695" spans="1:16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256"/>
    </row>
    <row r="696" spans="1:16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256"/>
    </row>
    <row r="697" spans="1:16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256"/>
    </row>
    <row r="698" spans="1:16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256"/>
    </row>
    <row r="699" spans="1:16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256"/>
    </row>
    <row r="700" spans="1:16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256"/>
    </row>
    <row r="701" spans="1:16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256"/>
    </row>
    <row r="702" spans="1:16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256"/>
    </row>
    <row r="703" spans="1:16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256"/>
    </row>
    <row r="704" spans="1:16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256"/>
    </row>
    <row r="705" spans="1:16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256"/>
    </row>
    <row r="706" spans="1:16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256"/>
    </row>
    <row r="707" spans="1:16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256"/>
    </row>
    <row r="708" spans="1:16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256"/>
    </row>
    <row r="709" spans="1:16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256"/>
    </row>
    <row r="710" spans="1:16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256"/>
    </row>
    <row r="711" spans="1:16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256"/>
    </row>
    <row r="712" spans="1:16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256"/>
    </row>
    <row r="713" spans="1:16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256"/>
    </row>
    <row r="714" spans="1:16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256"/>
    </row>
    <row r="715" spans="1:16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256"/>
    </row>
    <row r="716" spans="1:16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256"/>
    </row>
    <row r="717" spans="1:16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256"/>
    </row>
    <row r="718" spans="1:16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256"/>
    </row>
    <row r="719" spans="1:16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256"/>
    </row>
    <row r="720" spans="1:16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256"/>
    </row>
    <row r="721" spans="1:16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256"/>
    </row>
    <row r="722" spans="1:16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256"/>
    </row>
    <row r="723" spans="1:16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256"/>
    </row>
    <row r="724" spans="1:16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256"/>
    </row>
    <row r="725" spans="1:16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256"/>
    </row>
    <row r="726" spans="1:16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256"/>
    </row>
    <row r="727" spans="1:16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256"/>
    </row>
    <row r="728" spans="1:16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256"/>
    </row>
    <row r="729" spans="1:16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256"/>
    </row>
    <row r="730" spans="1:16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256"/>
    </row>
    <row r="731" spans="1:16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256"/>
    </row>
    <row r="732" spans="1:16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256"/>
    </row>
    <row r="733" spans="1:16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256"/>
    </row>
    <row r="734" spans="1:16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256"/>
    </row>
    <row r="735" spans="1:16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256"/>
    </row>
    <row r="736" spans="1:16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256"/>
    </row>
    <row r="737" spans="1:16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256"/>
    </row>
    <row r="738" spans="1:16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256"/>
    </row>
    <row r="739" spans="1:16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256"/>
    </row>
    <row r="740" spans="1:16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256"/>
    </row>
    <row r="741" spans="1:16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256"/>
    </row>
    <row r="742" spans="1:16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256"/>
    </row>
    <row r="743" spans="1:16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256"/>
    </row>
    <row r="744" spans="1:16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256"/>
    </row>
    <row r="745" spans="1:16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256"/>
    </row>
    <row r="746" spans="1:16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256"/>
    </row>
    <row r="747" spans="1:16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256"/>
    </row>
    <row r="748" spans="1:16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256"/>
    </row>
    <row r="749" spans="1:16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256"/>
    </row>
    <row r="750" spans="1:16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256"/>
    </row>
    <row r="751" spans="1:16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256"/>
    </row>
    <row r="752" spans="1:16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256"/>
    </row>
    <row r="753" spans="1:16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256"/>
    </row>
    <row r="754" spans="1:16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256"/>
    </row>
    <row r="755" spans="1:16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256"/>
    </row>
    <row r="756" spans="1:16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256"/>
    </row>
    <row r="757" spans="1:16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256"/>
    </row>
    <row r="758" spans="1:16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256"/>
    </row>
    <row r="759" spans="1:16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256"/>
    </row>
    <row r="760" spans="1:16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256"/>
    </row>
    <row r="761" spans="1:16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256"/>
    </row>
    <row r="762" spans="1:1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256"/>
    </row>
    <row r="763" spans="1:16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256"/>
    </row>
    <row r="764" spans="1:16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256"/>
    </row>
    <row r="765" spans="1:16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256"/>
    </row>
    <row r="766" spans="1:16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256"/>
    </row>
    <row r="767" spans="1:16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256"/>
    </row>
    <row r="768" spans="1:16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256"/>
    </row>
    <row r="769" spans="1:16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256"/>
    </row>
    <row r="770" spans="1:16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256"/>
    </row>
    <row r="771" spans="1:16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256"/>
    </row>
    <row r="772" spans="1:16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256"/>
    </row>
    <row r="773" spans="1:16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256"/>
    </row>
    <row r="774" spans="1:16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256"/>
    </row>
    <row r="775" spans="1:16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256"/>
    </row>
    <row r="776" spans="1:16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256"/>
    </row>
    <row r="777" spans="1:16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256"/>
    </row>
    <row r="778" spans="1:16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256"/>
    </row>
    <row r="779" spans="1:16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256"/>
    </row>
    <row r="780" spans="1:16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256"/>
    </row>
    <row r="781" spans="1:16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256"/>
    </row>
    <row r="782" spans="1:16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256"/>
    </row>
    <row r="783" spans="1:16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256"/>
    </row>
    <row r="784" spans="1:16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256"/>
    </row>
    <row r="785" spans="1:16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256"/>
    </row>
    <row r="786" spans="1:16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256"/>
    </row>
    <row r="787" spans="1:16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256"/>
    </row>
    <row r="788" spans="1:16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256"/>
    </row>
    <row r="789" spans="1:16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256"/>
    </row>
    <row r="790" spans="1:16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256"/>
    </row>
    <row r="791" spans="1:16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256"/>
    </row>
    <row r="792" spans="1:16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256"/>
    </row>
    <row r="793" spans="1:16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256"/>
    </row>
    <row r="794" spans="1:16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256"/>
    </row>
    <row r="795" spans="1:16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256"/>
    </row>
    <row r="796" spans="1:16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256"/>
    </row>
    <row r="797" spans="1:16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256"/>
    </row>
    <row r="798" spans="1:16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256"/>
    </row>
    <row r="799" spans="1:16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256"/>
    </row>
    <row r="800" spans="1:16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256"/>
    </row>
    <row r="801" spans="1:16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256"/>
    </row>
    <row r="802" spans="1:16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256"/>
    </row>
    <row r="803" spans="1:16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256"/>
    </row>
    <row r="804" spans="1:16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256"/>
    </row>
    <row r="805" spans="1:16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256"/>
    </row>
    <row r="806" spans="1:16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256"/>
    </row>
    <row r="807" spans="1:16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256"/>
    </row>
    <row r="808" spans="1:16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256"/>
    </row>
    <row r="809" spans="1:16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256"/>
    </row>
    <row r="810" spans="1:16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256"/>
    </row>
    <row r="811" spans="1:16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256"/>
    </row>
    <row r="812" spans="1:16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256"/>
    </row>
    <row r="813" spans="1:16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256"/>
    </row>
    <row r="814" spans="1:16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256"/>
    </row>
    <row r="815" spans="1:16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256"/>
    </row>
    <row r="816" spans="1:16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256"/>
    </row>
    <row r="817" spans="1:16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256"/>
    </row>
    <row r="818" spans="1:16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256"/>
    </row>
    <row r="819" spans="1:16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256"/>
    </row>
    <row r="820" spans="1:16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256"/>
    </row>
    <row r="821" spans="1:16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256"/>
    </row>
    <row r="822" spans="1:16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256"/>
    </row>
    <row r="823" spans="1:16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256"/>
    </row>
    <row r="824" spans="1:16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256"/>
    </row>
    <row r="825" spans="1:16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256"/>
    </row>
    <row r="826" spans="1:16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256"/>
    </row>
    <row r="827" spans="1:16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256"/>
    </row>
    <row r="828" spans="1:16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256"/>
    </row>
    <row r="829" spans="1:16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256"/>
    </row>
    <row r="830" spans="1:16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256"/>
    </row>
    <row r="831" spans="1:16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256"/>
    </row>
    <row r="832" spans="1:16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256"/>
    </row>
    <row r="833" spans="1:16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256"/>
    </row>
    <row r="834" spans="1:16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256"/>
    </row>
    <row r="835" spans="1:16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256"/>
    </row>
    <row r="836" spans="1:16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256"/>
    </row>
    <row r="837" spans="1:16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256"/>
    </row>
    <row r="838" spans="1:16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256"/>
    </row>
    <row r="839" spans="1:16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256"/>
    </row>
    <row r="840" spans="1:16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256"/>
    </row>
    <row r="841" spans="1:16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256"/>
    </row>
    <row r="842" spans="1:16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256"/>
    </row>
    <row r="843" spans="1:16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256"/>
    </row>
    <row r="844" spans="1:16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256"/>
    </row>
    <row r="845" spans="1:16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256"/>
    </row>
    <row r="846" spans="1:16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256"/>
    </row>
    <row r="847" spans="1:16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256"/>
    </row>
    <row r="848" spans="1:16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256"/>
    </row>
    <row r="849" spans="1:16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256"/>
    </row>
    <row r="850" spans="1:16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256"/>
    </row>
    <row r="851" spans="1:16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256"/>
    </row>
    <row r="852" spans="1:16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256"/>
    </row>
    <row r="853" spans="1:16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256"/>
    </row>
    <row r="854" spans="1:16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256"/>
    </row>
    <row r="855" spans="1:16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256"/>
    </row>
    <row r="856" spans="1:16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256"/>
    </row>
    <row r="857" spans="1:16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256"/>
    </row>
    <row r="858" spans="1:16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256"/>
    </row>
    <row r="859" spans="1:16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256"/>
    </row>
    <row r="860" spans="1:16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256"/>
    </row>
    <row r="861" spans="1:16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256"/>
    </row>
    <row r="862" spans="1:1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256"/>
    </row>
    <row r="863" spans="1:16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256"/>
    </row>
    <row r="864" spans="1:16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256"/>
    </row>
    <row r="865" spans="1:16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256"/>
    </row>
    <row r="866" spans="1:16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256"/>
    </row>
    <row r="867" spans="1:16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256"/>
    </row>
    <row r="868" spans="1:16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256"/>
    </row>
    <row r="869" spans="1:16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256"/>
    </row>
    <row r="870" spans="1:16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256"/>
    </row>
    <row r="871" spans="1:16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256"/>
    </row>
    <row r="872" spans="1:16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256"/>
    </row>
    <row r="873" spans="1:16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256"/>
    </row>
    <row r="874" spans="1:16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256"/>
    </row>
    <row r="875" spans="1:16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256"/>
    </row>
    <row r="876" spans="1:16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256"/>
    </row>
    <row r="877" spans="1:16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256"/>
    </row>
    <row r="878" spans="1:16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256"/>
    </row>
    <row r="879" spans="1:16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256"/>
    </row>
    <row r="880" spans="1:16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256"/>
    </row>
    <row r="881" spans="1:16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256"/>
    </row>
    <row r="882" spans="1:16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256"/>
    </row>
    <row r="883" spans="1:16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256"/>
    </row>
    <row r="884" spans="1:16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256"/>
    </row>
    <row r="885" spans="1:16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256"/>
    </row>
    <row r="886" spans="1:16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256"/>
    </row>
    <row r="887" spans="1:16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256"/>
    </row>
    <row r="888" spans="1:16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256"/>
    </row>
    <row r="889" spans="1:16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256"/>
    </row>
    <row r="890" spans="1:16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256"/>
    </row>
    <row r="891" spans="1:16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256"/>
    </row>
    <row r="892" spans="1:16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256"/>
    </row>
    <row r="893" spans="1:16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256"/>
    </row>
    <row r="894" spans="1:16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256"/>
    </row>
    <row r="895" spans="1:16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256"/>
    </row>
    <row r="896" spans="1:16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256"/>
    </row>
    <row r="897" spans="1:16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256"/>
    </row>
    <row r="898" spans="1:16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256"/>
    </row>
    <row r="899" spans="1:16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256"/>
    </row>
    <row r="900" spans="1:16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256"/>
    </row>
    <row r="901" spans="1:16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256"/>
    </row>
    <row r="902" spans="1:16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256"/>
    </row>
    <row r="903" spans="1:16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256"/>
    </row>
    <row r="904" spans="1:16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256"/>
    </row>
    <row r="905" spans="1:16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256"/>
    </row>
    <row r="906" spans="1:16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256"/>
    </row>
    <row r="907" spans="1:16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256"/>
    </row>
    <row r="908" spans="1:16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256"/>
    </row>
    <row r="909" spans="1:16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256"/>
    </row>
    <row r="910" spans="1:16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256"/>
    </row>
    <row r="911" spans="1:16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256"/>
    </row>
    <row r="912" spans="1:16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256"/>
    </row>
    <row r="913" spans="1:16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256"/>
    </row>
    <row r="914" spans="1:16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256"/>
    </row>
    <row r="915" spans="1:16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256"/>
    </row>
    <row r="916" spans="1:16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256"/>
    </row>
    <row r="917" spans="1:16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256"/>
    </row>
    <row r="918" spans="1:16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256"/>
    </row>
    <row r="919" spans="1:16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256"/>
    </row>
    <row r="920" spans="1:16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256"/>
    </row>
    <row r="921" spans="1:16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256"/>
    </row>
    <row r="922" spans="1:16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256"/>
    </row>
    <row r="923" spans="1:16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256"/>
    </row>
    <row r="924" spans="1:16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256"/>
    </row>
    <row r="925" spans="1:16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256"/>
    </row>
    <row r="926" spans="1:16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256"/>
    </row>
    <row r="927" spans="1:16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256"/>
    </row>
    <row r="928" spans="1:16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256"/>
    </row>
    <row r="929" spans="1:16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256"/>
    </row>
    <row r="930" spans="1:16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256"/>
    </row>
    <row r="931" spans="1:16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256"/>
    </row>
    <row r="932" spans="1:16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256"/>
    </row>
    <row r="933" spans="1:16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256"/>
    </row>
    <row r="934" spans="1:16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256"/>
    </row>
    <row r="935" spans="1:16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256"/>
    </row>
    <row r="936" spans="1:16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256"/>
    </row>
    <row r="937" spans="1:16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256"/>
    </row>
    <row r="938" spans="1:16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256"/>
    </row>
    <row r="939" spans="1:16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256"/>
    </row>
    <row r="940" spans="1:16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256"/>
    </row>
    <row r="941" spans="1:16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256"/>
    </row>
    <row r="942" spans="1:16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256"/>
    </row>
    <row r="943" spans="1:16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256"/>
    </row>
    <row r="944" spans="1:16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256"/>
    </row>
    <row r="945" spans="1:16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256"/>
    </row>
    <row r="946" spans="1:16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256"/>
    </row>
    <row r="947" spans="1:16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256"/>
    </row>
    <row r="948" spans="1:16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256"/>
    </row>
    <row r="949" spans="1:16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256"/>
    </row>
    <row r="950" spans="1:16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256"/>
    </row>
    <row r="951" spans="1:16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256"/>
    </row>
    <row r="952" spans="1:16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256"/>
    </row>
    <row r="953" spans="1:16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256"/>
    </row>
    <row r="954" spans="1:16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256"/>
    </row>
    <row r="955" spans="1:16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256"/>
    </row>
    <row r="956" spans="1:16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256"/>
    </row>
    <row r="957" spans="1:16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256"/>
    </row>
    <row r="958" spans="1:16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256"/>
    </row>
    <row r="959" spans="1:16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256"/>
    </row>
    <row r="960" spans="1:16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256"/>
    </row>
    <row r="961" spans="1:16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256"/>
    </row>
    <row r="962" spans="1:1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256"/>
    </row>
    <row r="963" spans="1:16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256"/>
    </row>
    <row r="964" spans="1:16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256"/>
    </row>
    <row r="965" spans="1:16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256"/>
    </row>
    <row r="966" spans="1:16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256"/>
    </row>
    <row r="967" spans="1:16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256"/>
    </row>
    <row r="968" spans="1:16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256"/>
    </row>
    <row r="969" spans="1:16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256"/>
    </row>
    <row r="970" spans="1:16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256"/>
    </row>
    <row r="971" spans="1:16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256"/>
    </row>
    <row r="972" spans="1:16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256"/>
    </row>
    <row r="973" spans="1:16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256"/>
    </row>
    <row r="974" spans="1:16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256"/>
    </row>
    <row r="975" spans="1:16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256"/>
    </row>
    <row r="976" spans="1:16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256"/>
    </row>
    <row r="977" spans="1:16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256"/>
    </row>
    <row r="978" spans="1:16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256"/>
    </row>
    <row r="979" spans="1:16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256"/>
    </row>
    <row r="980" spans="1:16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256"/>
    </row>
    <row r="981" spans="1:16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256"/>
    </row>
    <row r="982" spans="1:16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256"/>
    </row>
    <row r="983" spans="1:16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256"/>
    </row>
    <row r="984" spans="1:16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256"/>
    </row>
    <row r="985" spans="1:16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256"/>
    </row>
    <row r="986" spans="1:16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256"/>
    </row>
    <row r="987" spans="1:16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256"/>
    </row>
    <row r="988" spans="1:16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256"/>
    </row>
    <row r="989" spans="1:16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256"/>
    </row>
    <row r="990" spans="1:16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256"/>
    </row>
    <row r="991" spans="1:16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256"/>
    </row>
    <row r="992" spans="1:16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256"/>
    </row>
    <row r="993" spans="1:16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256"/>
    </row>
    <row r="994" spans="1:16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256"/>
    </row>
    <row r="995" spans="1:16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256"/>
    </row>
    <row r="996" spans="1:16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256"/>
    </row>
    <row r="997" spans="1:16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256"/>
    </row>
    <row r="998" spans="1:16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256"/>
    </row>
    <row r="999" spans="1:16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256"/>
    </row>
    <row r="1000" spans="1:16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256"/>
    </row>
    <row r="1001" spans="1:162"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256"/>
    </row>
    <row r="1002" spans="1:16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256"/>
    </row>
    <row r="1003" spans="1:162"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256"/>
    </row>
    <row r="1004" spans="1:162"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256"/>
    </row>
  </sheetData>
  <sheetProtection sheet="1" scenarios="1" formatCells="0" formatColumns="0" formatRows="0" sort="0" autoFilter="0"/>
  <mergeCells count="36">
    <mergeCell ref="K131:DM138"/>
    <mergeCell ref="Q24:AR26"/>
    <mergeCell ref="BT61:CY62"/>
    <mergeCell ref="AA50:AF51"/>
    <mergeCell ref="AU27:BV36"/>
    <mergeCell ref="BJ46:CN48"/>
    <mergeCell ref="AA55:AF56"/>
    <mergeCell ref="AJ11:CG13"/>
    <mergeCell ref="Q37:AR39"/>
    <mergeCell ref="D4:S7"/>
    <mergeCell ref="BT59:CY60"/>
    <mergeCell ref="AA57:AR58"/>
    <mergeCell ref="AH4:CI9"/>
    <mergeCell ref="D163:DM171"/>
    <mergeCell ref="AI20:CH22"/>
    <mergeCell ref="BY27:CZ36"/>
    <mergeCell ref="AA15:CP16"/>
    <mergeCell ref="AA59:BF60"/>
    <mergeCell ref="Q46:AU48"/>
    <mergeCell ref="BY37:CZ39"/>
    <mergeCell ref="BY24:CZ26"/>
    <mergeCell ref="BJ72:CY116"/>
    <mergeCell ref="BT53:CY54"/>
    <mergeCell ref="AU37:BV39"/>
    <mergeCell ref="AA61:BF62"/>
    <mergeCell ref="AA52:AR53"/>
    <mergeCell ref="AH55:BF56"/>
    <mergeCell ref="AH50:BF51"/>
    <mergeCell ref="Q120:CZ124"/>
    <mergeCell ref="BT56:CY57"/>
    <mergeCell ref="BT50:CY51"/>
    <mergeCell ref="Q71:BI73"/>
    <mergeCell ref="AU24:BV26"/>
    <mergeCell ref="S75:BG115"/>
    <mergeCell ref="Q27:AR36"/>
    <mergeCell ref="R41:CY43"/>
  </mergeCells>
  <pageMargins left="0.75" right="0.75" top="1" bottom="1"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8C8C8"/>
  </sheetPr>
  <dimension ref="A1:Z1005"/>
  <sheetViews>
    <sheetView zoomScaleNormal="100" workbookViewId="0">
      <selection activeCell="B7" sqref="B7"/>
    </sheetView>
  </sheetViews>
  <sheetFormatPr baseColWidth="10" defaultColWidth="11.28515625" defaultRowHeight="15" customHeight="1"/>
  <cols>
    <col min="1" max="1" width="18" style="104" customWidth="1"/>
    <col min="2" max="2" width="140.85546875" style="104" customWidth="1"/>
    <col min="3" max="6" width="60" style="104" customWidth="1"/>
    <col min="7" max="26" width="8.5703125" style="104" customWidth="1"/>
    <col min="27" max="33" width="11.28515625" style="104" customWidth="1"/>
    <col min="34" max="16384" width="11.28515625" style="104"/>
  </cols>
  <sheetData>
    <row r="1" spans="1:26" ht="15" customHeight="1">
      <c r="A1" s="67" t="s">
        <v>416</v>
      </c>
      <c r="B1" s="67" t="s">
        <v>315</v>
      </c>
      <c r="C1" s="67" t="s">
        <v>319</v>
      </c>
      <c r="D1" s="67" t="s">
        <v>323</v>
      </c>
      <c r="E1" s="67" t="s">
        <v>327</v>
      </c>
      <c r="F1" s="67" t="s">
        <v>331</v>
      </c>
      <c r="G1" s="67"/>
      <c r="H1" s="67"/>
      <c r="I1" s="67"/>
      <c r="J1" s="67"/>
      <c r="K1" s="67"/>
      <c r="L1" s="67"/>
      <c r="M1" s="67"/>
      <c r="N1" s="67"/>
      <c r="O1" s="67"/>
      <c r="P1" s="67"/>
      <c r="Q1" s="67"/>
      <c r="R1" s="67"/>
      <c r="S1" s="67"/>
      <c r="T1" s="67"/>
      <c r="U1" s="67"/>
      <c r="V1" s="67"/>
      <c r="W1" s="67"/>
      <c r="X1" s="67"/>
      <c r="Y1" s="67"/>
      <c r="Z1" s="67"/>
    </row>
    <row r="2" spans="1:26" ht="15" customHeight="1">
      <c r="A2" s="67" t="s">
        <v>417</v>
      </c>
      <c r="B2" s="67" t="s">
        <v>418</v>
      </c>
      <c r="C2" s="67" t="s">
        <v>419</v>
      </c>
      <c r="D2" s="67" t="s">
        <v>420</v>
      </c>
      <c r="E2" s="67" t="s">
        <v>421</v>
      </c>
      <c r="F2" s="67" t="s">
        <v>422</v>
      </c>
      <c r="G2" s="67"/>
      <c r="H2" s="67"/>
      <c r="I2" s="67"/>
      <c r="J2" s="67"/>
      <c r="K2" s="67"/>
      <c r="L2" s="67"/>
      <c r="M2" s="67"/>
      <c r="N2" s="67"/>
      <c r="O2" s="67"/>
      <c r="P2" s="67"/>
      <c r="Q2" s="67"/>
      <c r="R2" s="67"/>
      <c r="S2" s="67"/>
      <c r="T2" s="67"/>
      <c r="U2" s="67"/>
      <c r="V2" s="67"/>
      <c r="W2" s="67"/>
      <c r="X2" s="67"/>
      <c r="Y2" s="67"/>
      <c r="Z2" s="67"/>
    </row>
    <row r="3" spans="1:26" ht="15" customHeight="1">
      <c r="A3" s="67" t="s">
        <v>423</v>
      </c>
      <c r="B3" s="67" t="s">
        <v>424</v>
      </c>
      <c r="C3" s="67" t="s">
        <v>425</v>
      </c>
      <c r="D3" s="67" t="s">
        <v>426</v>
      </c>
      <c r="E3" s="67" t="s">
        <v>427</v>
      </c>
      <c r="F3" s="67" t="s">
        <v>428</v>
      </c>
      <c r="G3" s="67"/>
      <c r="H3" s="67"/>
      <c r="I3" s="67"/>
      <c r="J3" s="67"/>
      <c r="K3" s="67"/>
      <c r="L3" s="67"/>
      <c r="M3" s="67"/>
      <c r="N3" s="67"/>
      <c r="O3" s="67"/>
      <c r="P3" s="67"/>
      <c r="Q3" s="67"/>
      <c r="R3" s="67"/>
      <c r="S3" s="67"/>
      <c r="T3" s="67"/>
      <c r="U3" s="67"/>
      <c r="V3" s="67"/>
      <c r="W3" s="67"/>
      <c r="X3" s="67"/>
      <c r="Y3" s="67"/>
      <c r="Z3" s="67"/>
    </row>
    <row r="4" spans="1:26" ht="15" customHeight="1">
      <c r="A4" s="67" t="s">
        <v>429</v>
      </c>
      <c r="B4" s="67" t="s">
        <v>430</v>
      </c>
      <c r="C4" s="67" t="s">
        <v>431</v>
      </c>
      <c r="D4" s="67" t="s">
        <v>432</v>
      </c>
      <c r="E4" s="67" t="s">
        <v>433</v>
      </c>
      <c r="F4" s="67" t="s">
        <v>434</v>
      </c>
      <c r="G4" s="67"/>
      <c r="H4" s="67"/>
      <c r="I4" s="67"/>
      <c r="J4" s="67"/>
      <c r="K4" s="67"/>
      <c r="L4" s="67"/>
      <c r="M4" s="67"/>
      <c r="N4" s="67"/>
      <c r="O4" s="67"/>
      <c r="P4" s="67"/>
      <c r="Q4" s="67"/>
      <c r="R4" s="67"/>
      <c r="S4" s="67"/>
      <c r="T4" s="67"/>
      <c r="U4" s="67"/>
      <c r="V4" s="67"/>
      <c r="W4" s="67"/>
      <c r="X4" s="67"/>
      <c r="Y4" s="67"/>
      <c r="Z4" s="67"/>
    </row>
    <row r="5" spans="1:26" ht="15" customHeight="1">
      <c r="A5" s="67" t="s">
        <v>435</v>
      </c>
      <c r="B5" s="67" t="s">
        <v>436</v>
      </c>
      <c r="C5" s="67" t="s">
        <v>437</v>
      </c>
      <c r="D5" s="67" t="s">
        <v>438</v>
      </c>
      <c r="E5" s="67" t="s">
        <v>439</v>
      </c>
      <c r="F5" s="67" t="s">
        <v>440</v>
      </c>
      <c r="G5" s="67"/>
      <c r="H5" s="67"/>
      <c r="I5" s="67"/>
      <c r="J5" s="67"/>
      <c r="K5" s="67"/>
      <c r="L5" s="67"/>
      <c r="M5" s="67"/>
      <c r="N5" s="67"/>
      <c r="O5" s="67"/>
      <c r="P5" s="67"/>
      <c r="Q5" s="67"/>
      <c r="R5" s="67"/>
      <c r="S5" s="67"/>
      <c r="T5" s="67"/>
      <c r="U5" s="67"/>
      <c r="V5" s="67"/>
      <c r="W5" s="67"/>
      <c r="X5" s="67"/>
      <c r="Y5" s="67"/>
      <c r="Z5" s="67"/>
    </row>
    <row r="6" spans="1:26" ht="15" customHeight="1">
      <c r="A6" s="67" t="s">
        <v>441</v>
      </c>
      <c r="B6" s="67" t="s">
        <v>442</v>
      </c>
      <c r="C6" s="67" t="s">
        <v>443</v>
      </c>
      <c r="D6" s="67" t="s">
        <v>444</v>
      </c>
      <c r="E6" s="67" t="s">
        <v>445</v>
      </c>
      <c r="F6" s="67" t="s">
        <v>446</v>
      </c>
      <c r="G6" s="67"/>
      <c r="H6" s="67"/>
      <c r="I6" s="67"/>
      <c r="J6" s="67"/>
      <c r="K6" s="67"/>
      <c r="L6" s="67"/>
      <c r="M6" s="67"/>
      <c r="N6" s="67"/>
      <c r="O6" s="67"/>
      <c r="P6" s="67"/>
      <c r="Q6" s="67"/>
      <c r="R6" s="67"/>
      <c r="S6" s="67"/>
      <c r="T6" s="67"/>
      <c r="U6" s="67"/>
      <c r="V6" s="67"/>
      <c r="W6" s="67"/>
      <c r="X6" s="67"/>
      <c r="Y6" s="67"/>
      <c r="Z6" s="67"/>
    </row>
    <row r="7" spans="1:26" ht="15" customHeight="1">
      <c r="A7" s="67" t="s">
        <v>447</v>
      </c>
      <c r="B7" s="67" t="s">
        <v>448</v>
      </c>
      <c r="C7" s="67" t="s">
        <v>449</v>
      </c>
      <c r="D7" s="67" t="s">
        <v>450</v>
      </c>
      <c r="E7" s="67" t="s">
        <v>451</v>
      </c>
      <c r="F7" s="67" t="s">
        <v>452</v>
      </c>
      <c r="G7" s="67"/>
      <c r="H7" s="67"/>
      <c r="I7" s="67"/>
      <c r="J7" s="67"/>
      <c r="K7" s="67"/>
      <c r="L7" s="67"/>
      <c r="M7" s="67"/>
      <c r="N7" s="67"/>
      <c r="O7" s="67"/>
      <c r="P7" s="67"/>
      <c r="Q7" s="67"/>
      <c r="R7" s="67"/>
      <c r="S7" s="67"/>
      <c r="T7" s="67"/>
      <c r="U7" s="67"/>
      <c r="V7" s="67"/>
      <c r="W7" s="67"/>
      <c r="X7" s="67"/>
      <c r="Y7" s="67"/>
      <c r="Z7" s="67"/>
    </row>
    <row r="8" spans="1:26" ht="15" customHeight="1">
      <c r="A8" s="67" t="s">
        <v>453</v>
      </c>
      <c r="B8" s="67" t="s">
        <v>454</v>
      </c>
      <c r="C8" s="67" t="s">
        <v>455</v>
      </c>
      <c r="D8" s="67" t="s">
        <v>456</v>
      </c>
      <c r="E8" s="67" t="s">
        <v>457</v>
      </c>
      <c r="F8" s="67" t="s">
        <v>458</v>
      </c>
      <c r="G8" s="67"/>
      <c r="H8" s="67"/>
      <c r="I8" s="67"/>
      <c r="J8" s="67"/>
      <c r="K8" s="67"/>
      <c r="L8" s="67"/>
      <c r="M8" s="67"/>
      <c r="N8" s="67"/>
      <c r="O8" s="67"/>
      <c r="P8" s="67"/>
      <c r="Q8" s="67"/>
      <c r="R8" s="67"/>
      <c r="S8" s="67"/>
      <c r="T8" s="67"/>
      <c r="U8" s="67"/>
      <c r="V8" s="67"/>
      <c r="W8" s="67"/>
      <c r="X8" s="67"/>
      <c r="Y8" s="67"/>
      <c r="Z8" s="67"/>
    </row>
    <row r="9" spans="1:26" ht="15" customHeight="1">
      <c r="A9" s="67" t="s">
        <v>459</v>
      </c>
      <c r="B9" s="67" t="s">
        <v>460</v>
      </c>
      <c r="C9" s="67" t="s">
        <v>461</v>
      </c>
      <c r="D9" s="67" t="s">
        <v>462</v>
      </c>
      <c r="E9" s="67" t="s">
        <v>463</v>
      </c>
      <c r="F9" s="67" t="s">
        <v>464</v>
      </c>
      <c r="G9" s="67"/>
      <c r="H9" s="67"/>
      <c r="I9" s="67"/>
      <c r="J9" s="67"/>
      <c r="K9" s="67"/>
      <c r="L9" s="67"/>
      <c r="M9" s="67"/>
      <c r="N9" s="67"/>
      <c r="O9" s="67"/>
      <c r="P9" s="67"/>
      <c r="Q9" s="67"/>
      <c r="R9" s="67"/>
      <c r="S9" s="67"/>
      <c r="T9" s="67"/>
      <c r="U9" s="67"/>
      <c r="V9" s="67"/>
      <c r="W9" s="67"/>
      <c r="X9" s="67"/>
      <c r="Y9" s="67"/>
      <c r="Z9" s="67"/>
    </row>
    <row r="10" spans="1:26" ht="15" customHeight="1">
      <c r="A10" s="67" t="s">
        <v>465</v>
      </c>
      <c r="B10" s="67" t="s">
        <v>466</v>
      </c>
      <c r="C10" s="67" t="s">
        <v>467</v>
      </c>
      <c r="D10" s="67" t="s">
        <v>468</v>
      </c>
      <c r="E10" s="67" t="s">
        <v>469</v>
      </c>
      <c r="F10" s="67" t="s">
        <v>470</v>
      </c>
      <c r="G10" s="67"/>
      <c r="H10" s="67"/>
      <c r="I10" s="67"/>
      <c r="J10" s="67"/>
      <c r="K10" s="67"/>
      <c r="L10" s="67"/>
      <c r="M10" s="67"/>
      <c r="N10" s="67"/>
      <c r="O10" s="67"/>
      <c r="P10" s="67"/>
      <c r="Q10" s="67"/>
      <c r="R10" s="67"/>
      <c r="S10" s="67"/>
      <c r="T10" s="67"/>
      <c r="U10" s="67"/>
      <c r="V10" s="67"/>
      <c r="W10" s="67"/>
      <c r="X10" s="67"/>
      <c r="Y10" s="67"/>
      <c r="Z10" s="67"/>
    </row>
    <row r="11" spans="1:26" ht="15" customHeight="1">
      <c r="A11" s="67" t="s">
        <v>471</v>
      </c>
      <c r="B11" s="67" t="s">
        <v>472</v>
      </c>
      <c r="C11" s="67" t="s">
        <v>473</v>
      </c>
      <c r="D11" s="67" t="s">
        <v>474</v>
      </c>
      <c r="E11" s="67" t="s">
        <v>475</v>
      </c>
      <c r="F11" s="67" t="s">
        <v>476</v>
      </c>
      <c r="G11" s="67"/>
      <c r="H11" s="67"/>
      <c r="I11" s="67"/>
      <c r="J11" s="67"/>
      <c r="K11" s="67"/>
      <c r="L11" s="67"/>
      <c r="M11" s="67"/>
      <c r="N11" s="67"/>
      <c r="O11" s="67"/>
      <c r="P11" s="67"/>
      <c r="Q11" s="67"/>
      <c r="R11" s="67"/>
      <c r="S11" s="67"/>
      <c r="T11" s="67"/>
      <c r="U11" s="67"/>
      <c r="V11" s="67"/>
      <c r="W11" s="67"/>
      <c r="X11" s="67"/>
      <c r="Y11" s="67"/>
      <c r="Z11" s="67"/>
    </row>
    <row r="12" spans="1:26" ht="15" customHeight="1">
      <c r="A12" s="67" t="s">
        <v>477</v>
      </c>
      <c r="B12" s="67" t="s">
        <v>478</v>
      </c>
      <c r="C12" s="67" t="s">
        <v>479</v>
      </c>
      <c r="D12" s="67" t="s">
        <v>480</v>
      </c>
      <c r="E12" s="67" t="s">
        <v>481</v>
      </c>
      <c r="F12" s="67" t="s">
        <v>482</v>
      </c>
      <c r="G12" s="67"/>
      <c r="H12" s="67"/>
      <c r="I12" s="67"/>
      <c r="J12" s="67"/>
      <c r="K12" s="67"/>
      <c r="L12" s="67"/>
      <c r="M12" s="67"/>
      <c r="N12" s="67"/>
      <c r="O12" s="67"/>
      <c r="P12" s="67"/>
      <c r="Q12" s="67"/>
      <c r="R12" s="67"/>
      <c r="S12" s="67"/>
      <c r="T12" s="67"/>
      <c r="U12" s="67"/>
      <c r="V12" s="67"/>
      <c r="W12" s="67"/>
      <c r="X12" s="67"/>
      <c r="Y12" s="67"/>
      <c r="Z12" s="67"/>
    </row>
    <row r="13" spans="1:26" ht="15" customHeight="1">
      <c r="A13" s="67" t="s">
        <v>483</v>
      </c>
      <c r="B13" s="67" t="s">
        <v>484</v>
      </c>
      <c r="C13" s="67" t="s">
        <v>485</v>
      </c>
      <c r="D13" s="67" t="s">
        <v>486</v>
      </c>
      <c r="E13" s="67" t="s">
        <v>487</v>
      </c>
      <c r="F13" s="67" t="s">
        <v>488</v>
      </c>
      <c r="G13" s="67"/>
      <c r="H13" s="67"/>
      <c r="I13" s="67"/>
      <c r="J13" s="67"/>
      <c r="K13" s="67"/>
      <c r="L13" s="67"/>
      <c r="M13" s="67"/>
      <c r="N13" s="67"/>
      <c r="O13" s="67"/>
      <c r="P13" s="67"/>
      <c r="Q13" s="67"/>
      <c r="R13" s="67"/>
      <c r="S13" s="67"/>
      <c r="T13" s="67"/>
      <c r="U13" s="67"/>
      <c r="V13" s="67"/>
      <c r="W13" s="67"/>
      <c r="X13" s="67"/>
      <c r="Y13" s="67"/>
      <c r="Z13" s="67"/>
    </row>
    <row r="14" spans="1:26" ht="15" customHeight="1">
      <c r="A14" s="67" t="s">
        <v>489</v>
      </c>
      <c r="B14" s="67" t="s">
        <v>490</v>
      </c>
      <c r="C14" s="67" t="s">
        <v>491</v>
      </c>
      <c r="D14" s="67" t="s">
        <v>492</v>
      </c>
      <c r="E14" s="67" t="s">
        <v>493</v>
      </c>
      <c r="F14" s="67" t="s">
        <v>494</v>
      </c>
      <c r="G14" s="67"/>
      <c r="H14" s="67"/>
      <c r="I14" s="67"/>
      <c r="J14" s="67"/>
      <c r="K14" s="67"/>
      <c r="L14" s="67"/>
      <c r="M14" s="67"/>
      <c r="N14" s="67"/>
      <c r="O14" s="67"/>
      <c r="P14" s="67"/>
      <c r="Q14" s="67"/>
      <c r="R14" s="67"/>
      <c r="S14" s="67"/>
      <c r="T14" s="67"/>
      <c r="U14" s="67"/>
      <c r="V14" s="67"/>
      <c r="W14" s="67"/>
      <c r="X14" s="67"/>
      <c r="Y14" s="67"/>
      <c r="Z14" s="67"/>
    </row>
    <row r="15" spans="1:26" ht="15" customHeight="1">
      <c r="A15" s="67"/>
      <c r="B15" s="67"/>
      <c r="C15" s="67"/>
      <c r="D15" s="67"/>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495</v>
      </c>
      <c r="B16" s="67" t="s">
        <v>496</v>
      </c>
      <c r="C16" s="67" t="s">
        <v>497</v>
      </c>
      <c r="D16" s="67" t="s">
        <v>498</v>
      </c>
      <c r="E16" s="67" t="s">
        <v>499</v>
      </c>
      <c r="F16" s="67" t="s">
        <v>500</v>
      </c>
      <c r="G16" s="67"/>
      <c r="H16" s="67"/>
      <c r="I16" s="67"/>
      <c r="J16" s="67"/>
      <c r="K16" s="67"/>
      <c r="L16" s="67"/>
      <c r="M16" s="67"/>
      <c r="N16" s="67"/>
      <c r="O16" s="67"/>
      <c r="P16" s="67"/>
      <c r="Q16" s="67"/>
      <c r="R16" s="67"/>
      <c r="S16" s="67"/>
      <c r="T16" s="67"/>
      <c r="U16" s="67"/>
      <c r="V16" s="67"/>
      <c r="W16" s="67"/>
      <c r="X16" s="67"/>
      <c r="Y16" s="67"/>
      <c r="Z16" s="67"/>
    </row>
    <row r="17" spans="1:26" ht="15" customHeight="1">
      <c r="A17" s="67" t="s">
        <v>501</v>
      </c>
      <c r="B17" s="67" t="s">
        <v>502</v>
      </c>
      <c r="C17" s="67" t="s">
        <v>502</v>
      </c>
      <c r="D17" s="67" t="s">
        <v>502</v>
      </c>
      <c r="E17" s="67" t="s">
        <v>502</v>
      </c>
      <c r="F17" s="67" t="s">
        <v>502</v>
      </c>
      <c r="G17" s="67"/>
      <c r="H17" s="67"/>
      <c r="I17" s="67"/>
      <c r="J17" s="67"/>
      <c r="K17" s="67"/>
      <c r="L17" s="67"/>
      <c r="M17" s="67"/>
      <c r="N17" s="67"/>
      <c r="O17" s="67"/>
      <c r="P17" s="67"/>
      <c r="Q17" s="67"/>
      <c r="R17" s="67"/>
      <c r="S17" s="67"/>
      <c r="T17" s="67"/>
      <c r="U17" s="67"/>
      <c r="V17" s="67"/>
      <c r="W17" s="67"/>
      <c r="X17" s="67"/>
      <c r="Y17" s="67"/>
      <c r="Z17" s="67"/>
    </row>
    <row r="18" spans="1:26" ht="15" customHeight="1">
      <c r="A18" s="67" t="s">
        <v>503</v>
      </c>
      <c r="B18" s="67" t="s">
        <v>504</v>
      </c>
      <c r="C18" s="67" t="s">
        <v>505</v>
      </c>
      <c r="D18" s="67" t="s">
        <v>506</v>
      </c>
      <c r="E18" s="67" t="s">
        <v>507</v>
      </c>
      <c r="F18" s="67" t="s">
        <v>508</v>
      </c>
      <c r="G18" s="67"/>
      <c r="H18" s="67"/>
      <c r="I18" s="67"/>
      <c r="J18" s="67"/>
      <c r="K18" s="67"/>
      <c r="L18" s="67"/>
      <c r="M18" s="67"/>
      <c r="N18" s="67"/>
      <c r="O18" s="67"/>
      <c r="P18" s="67"/>
      <c r="Q18" s="67"/>
      <c r="R18" s="67"/>
      <c r="S18" s="67"/>
      <c r="T18" s="67"/>
      <c r="U18" s="67"/>
      <c r="V18" s="67"/>
      <c r="W18" s="67"/>
      <c r="X18" s="67"/>
      <c r="Y18" s="67"/>
      <c r="Z18" s="67"/>
    </row>
    <row r="19" spans="1:26" ht="15" customHeight="1">
      <c r="A19" s="67" t="s">
        <v>509</v>
      </c>
      <c r="B19" s="67" t="s">
        <v>510</v>
      </c>
      <c r="C19" s="67" t="s">
        <v>511</v>
      </c>
      <c r="D19" s="67" t="s">
        <v>512</v>
      </c>
      <c r="E19" s="67" t="s">
        <v>513</v>
      </c>
      <c r="F19" s="67" t="s">
        <v>514</v>
      </c>
      <c r="G19" s="67"/>
      <c r="H19" s="67"/>
      <c r="I19" s="67"/>
      <c r="J19" s="67"/>
      <c r="K19" s="67"/>
      <c r="L19" s="67"/>
      <c r="M19" s="67"/>
      <c r="N19" s="67"/>
      <c r="O19" s="67"/>
      <c r="P19" s="67"/>
      <c r="Q19" s="67"/>
      <c r="R19" s="67"/>
      <c r="S19" s="67"/>
      <c r="T19" s="67"/>
      <c r="U19" s="67"/>
      <c r="V19" s="67"/>
      <c r="W19" s="67"/>
      <c r="X19" s="67"/>
      <c r="Y19" s="67"/>
      <c r="Z19" s="67"/>
    </row>
    <row r="20" spans="1:26" ht="15" customHeight="1">
      <c r="A20" s="67" t="s">
        <v>515</v>
      </c>
      <c r="B20" s="67" t="s">
        <v>516</v>
      </c>
      <c r="C20" s="67" t="s">
        <v>517</v>
      </c>
      <c r="D20" s="67" t="s">
        <v>518</v>
      </c>
      <c r="E20" s="67" t="s">
        <v>519</v>
      </c>
      <c r="F20" s="67" t="s">
        <v>520</v>
      </c>
      <c r="G20" s="67"/>
      <c r="H20" s="67"/>
      <c r="I20" s="67"/>
      <c r="J20" s="67"/>
      <c r="K20" s="67"/>
      <c r="L20" s="67"/>
      <c r="M20" s="67"/>
      <c r="N20" s="67"/>
      <c r="O20" s="67"/>
      <c r="P20" s="67"/>
      <c r="Q20" s="67"/>
      <c r="R20" s="67"/>
      <c r="S20" s="67"/>
      <c r="T20" s="67"/>
      <c r="U20" s="67"/>
      <c r="V20" s="67"/>
      <c r="W20" s="67"/>
      <c r="X20" s="67"/>
      <c r="Y20" s="67"/>
      <c r="Z20" s="67"/>
    </row>
    <row r="21" spans="1:26" ht="15" customHeight="1">
      <c r="A21" s="67" t="s">
        <v>521</v>
      </c>
      <c r="B21" s="67" t="s">
        <v>522</v>
      </c>
      <c r="C21" s="67" t="s">
        <v>523</v>
      </c>
      <c r="D21" s="67" t="s">
        <v>524</v>
      </c>
      <c r="E21" s="67" t="s">
        <v>525</v>
      </c>
      <c r="F21" s="67" t="s">
        <v>526</v>
      </c>
      <c r="G21" s="67"/>
      <c r="H21" s="67"/>
      <c r="I21" s="67"/>
      <c r="J21" s="67"/>
      <c r="K21" s="67"/>
      <c r="L21" s="67"/>
      <c r="M21" s="67"/>
      <c r="N21" s="67"/>
      <c r="O21" s="67"/>
      <c r="P21" s="67"/>
      <c r="Q21" s="67"/>
      <c r="R21" s="67"/>
      <c r="S21" s="67"/>
      <c r="T21" s="67"/>
      <c r="U21" s="67"/>
      <c r="V21" s="67"/>
      <c r="W21" s="67"/>
      <c r="X21" s="67"/>
      <c r="Y21" s="67"/>
      <c r="Z21" s="67"/>
    </row>
    <row r="22" spans="1:26" ht="15" customHeight="1">
      <c r="A22" s="67" t="s">
        <v>527</v>
      </c>
      <c r="B22" s="67" t="s">
        <v>528</v>
      </c>
      <c r="C22" s="67" t="s">
        <v>529</v>
      </c>
      <c r="D22" s="67" t="s">
        <v>530</v>
      </c>
      <c r="E22" s="67" t="s">
        <v>531</v>
      </c>
      <c r="F22" s="67" t="s">
        <v>532</v>
      </c>
      <c r="G22" s="67"/>
      <c r="H22" s="67"/>
      <c r="I22" s="67"/>
      <c r="J22" s="67"/>
      <c r="K22" s="67"/>
      <c r="L22" s="67"/>
      <c r="M22" s="67"/>
      <c r="N22" s="67"/>
      <c r="O22" s="67"/>
      <c r="P22" s="67"/>
      <c r="Q22" s="67"/>
      <c r="R22" s="67"/>
      <c r="S22" s="67"/>
      <c r="T22" s="67"/>
      <c r="U22" s="67"/>
      <c r="V22" s="67"/>
      <c r="W22" s="67"/>
      <c r="X22" s="67"/>
      <c r="Y22" s="67"/>
      <c r="Z22" s="67"/>
    </row>
    <row r="23" spans="1:26" ht="15" customHeight="1">
      <c r="A23" s="67" t="s">
        <v>533</v>
      </c>
      <c r="B23" s="129" t="s">
        <v>534</v>
      </c>
      <c r="C23" s="67" t="s">
        <v>535</v>
      </c>
      <c r="D23" s="67" t="s">
        <v>536</v>
      </c>
      <c r="E23" s="67" t="s">
        <v>537</v>
      </c>
      <c r="F23" s="67" t="s">
        <v>538</v>
      </c>
      <c r="G23" s="67"/>
      <c r="H23" s="67"/>
      <c r="I23" s="67"/>
      <c r="J23" s="67"/>
      <c r="K23" s="67"/>
      <c r="L23" s="67"/>
      <c r="M23" s="67"/>
      <c r="N23" s="67"/>
      <c r="O23" s="67"/>
      <c r="P23" s="67"/>
      <c r="Q23" s="67"/>
      <c r="R23" s="67"/>
      <c r="S23" s="67"/>
      <c r="T23" s="67"/>
      <c r="U23" s="67"/>
      <c r="V23" s="67"/>
      <c r="W23" s="67"/>
      <c r="X23" s="67"/>
      <c r="Y23" s="67"/>
      <c r="Z23" s="67"/>
    </row>
    <row r="24" spans="1:26" ht="15" customHeight="1">
      <c r="A24" s="67" t="s">
        <v>539</v>
      </c>
      <c r="B24" s="67" t="s">
        <v>540</v>
      </c>
      <c r="C24" s="67" t="s">
        <v>541</v>
      </c>
      <c r="D24" s="67" t="s">
        <v>542</v>
      </c>
      <c r="E24" s="67" t="s">
        <v>543</v>
      </c>
      <c r="F24" s="67" t="s">
        <v>544</v>
      </c>
      <c r="G24" s="67"/>
      <c r="H24" s="67"/>
      <c r="I24" s="67"/>
      <c r="J24" s="67"/>
      <c r="K24" s="67"/>
      <c r="L24" s="67"/>
      <c r="M24" s="67"/>
      <c r="N24" s="67"/>
      <c r="O24" s="67"/>
      <c r="P24" s="67"/>
      <c r="Q24" s="67"/>
      <c r="R24" s="67"/>
      <c r="S24" s="67"/>
      <c r="T24" s="67"/>
      <c r="U24" s="67"/>
      <c r="V24" s="67"/>
      <c r="W24" s="67"/>
      <c r="X24" s="67"/>
      <c r="Y24" s="67"/>
      <c r="Z24" s="67"/>
    </row>
    <row r="25" spans="1:26" ht="15" customHeight="1">
      <c r="A25" s="67" t="s">
        <v>545</v>
      </c>
      <c r="B25" s="67" t="s">
        <v>546</v>
      </c>
      <c r="C25" s="67" t="s">
        <v>547</v>
      </c>
      <c r="D25" s="67" t="s">
        <v>548</v>
      </c>
      <c r="E25" s="67" t="s">
        <v>549</v>
      </c>
      <c r="F25" s="67" t="s">
        <v>550</v>
      </c>
      <c r="G25" s="67"/>
      <c r="H25" s="67"/>
      <c r="I25" s="67"/>
      <c r="J25" s="67"/>
      <c r="K25" s="67"/>
      <c r="L25" s="67"/>
      <c r="M25" s="67"/>
      <c r="N25" s="67"/>
      <c r="O25" s="67"/>
      <c r="P25" s="67"/>
      <c r="Q25" s="67"/>
      <c r="R25" s="67"/>
      <c r="S25" s="67"/>
      <c r="T25" s="67"/>
      <c r="U25" s="67"/>
      <c r="V25" s="67"/>
      <c r="W25" s="67"/>
      <c r="X25" s="67"/>
      <c r="Y25" s="67"/>
      <c r="Z25" s="67"/>
    </row>
    <row r="26" spans="1:26" ht="15" customHeight="1">
      <c r="A26" s="67" t="s">
        <v>551</v>
      </c>
      <c r="B26" s="67" t="s">
        <v>552</v>
      </c>
      <c r="C26" s="67" t="s">
        <v>553</v>
      </c>
      <c r="D26" s="67" t="s">
        <v>554</v>
      </c>
      <c r="E26" s="67" t="s">
        <v>555</v>
      </c>
      <c r="F26" s="67" t="s">
        <v>556</v>
      </c>
      <c r="G26" s="67"/>
      <c r="H26" s="67"/>
      <c r="I26" s="67"/>
      <c r="J26" s="67"/>
      <c r="K26" s="67"/>
      <c r="L26" s="67"/>
      <c r="M26" s="67"/>
      <c r="N26" s="67"/>
      <c r="O26" s="67"/>
      <c r="P26" s="67"/>
      <c r="Q26" s="67"/>
      <c r="R26" s="67"/>
      <c r="S26" s="67"/>
      <c r="T26" s="67"/>
      <c r="U26" s="67"/>
      <c r="V26" s="67"/>
      <c r="W26" s="67"/>
      <c r="X26" s="67"/>
      <c r="Y26" s="67"/>
      <c r="Z26" s="67"/>
    </row>
    <row r="27" spans="1:26" ht="15" customHeight="1">
      <c r="A27" s="67" t="s">
        <v>557</v>
      </c>
      <c r="B27" s="67" t="s">
        <v>558</v>
      </c>
      <c r="C27" s="67" t="s">
        <v>559</v>
      </c>
      <c r="D27" s="67" t="s">
        <v>560</v>
      </c>
      <c r="E27" s="67" t="s">
        <v>561</v>
      </c>
      <c r="F27" s="67" t="s">
        <v>562</v>
      </c>
      <c r="G27" s="67"/>
      <c r="H27" s="67"/>
      <c r="I27" s="67"/>
      <c r="J27" s="67"/>
      <c r="K27" s="67"/>
      <c r="L27" s="67"/>
      <c r="M27" s="67"/>
      <c r="N27" s="67"/>
      <c r="O27" s="67"/>
      <c r="P27" s="67"/>
      <c r="Q27" s="67"/>
      <c r="R27" s="67"/>
      <c r="S27" s="67"/>
      <c r="T27" s="67"/>
      <c r="U27" s="67"/>
      <c r="V27" s="67"/>
      <c r="W27" s="67"/>
      <c r="X27" s="67"/>
      <c r="Y27" s="67"/>
      <c r="Z27" s="67"/>
    </row>
    <row r="28" spans="1:26" ht="15" customHeight="1">
      <c r="A28" s="67" t="s">
        <v>563</v>
      </c>
      <c r="B28" s="67" t="s">
        <v>564</v>
      </c>
      <c r="C28" s="67" t="s">
        <v>565</v>
      </c>
      <c r="D28" s="67" t="s">
        <v>566</v>
      </c>
      <c r="E28" s="67" t="s">
        <v>567</v>
      </c>
      <c r="F28" s="67" t="s">
        <v>568</v>
      </c>
      <c r="G28" s="67"/>
      <c r="H28" s="67"/>
      <c r="I28" s="67"/>
      <c r="J28" s="67"/>
      <c r="K28" s="67"/>
      <c r="L28" s="67"/>
      <c r="M28" s="67"/>
      <c r="N28" s="67"/>
      <c r="O28" s="67"/>
      <c r="P28" s="67"/>
      <c r="Q28" s="67"/>
      <c r="R28" s="67"/>
      <c r="S28" s="67"/>
      <c r="T28" s="67"/>
      <c r="U28" s="67"/>
      <c r="V28" s="67"/>
      <c r="W28" s="67"/>
      <c r="X28" s="67"/>
      <c r="Y28" s="67"/>
      <c r="Z28" s="67"/>
    </row>
    <row r="29" spans="1:26" ht="15" customHeight="1">
      <c r="A29" s="67" t="s">
        <v>569</v>
      </c>
      <c r="B29" s="67" t="s">
        <v>570</v>
      </c>
      <c r="C29" s="67" t="s">
        <v>571</v>
      </c>
      <c r="D29" s="67" t="s">
        <v>572</v>
      </c>
      <c r="E29" s="67" t="s">
        <v>573</v>
      </c>
      <c r="F29" s="67" t="s">
        <v>574</v>
      </c>
      <c r="G29" s="67"/>
      <c r="H29" s="67"/>
      <c r="I29" s="67"/>
      <c r="J29" s="67"/>
      <c r="K29" s="67"/>
      <c r="L29" s="67"/>
      <c r="M29" s="67"/>
      <c r="N29" s="67"/>
      <c r="O29" s="67"/>
      <c r="P29" s="67"/>
      <c r="Q29" s="67"/>
      <c r="R29" s="67"/>
      <c r="S29" s="67"/>
      <c r="T29" s="67"/>
      <c r="U29" s="67"/>
      <c r="V29" s="67"/>
      <c r="W29" s="67"/>
      <c r="X29" s="67"/>
      <c r="Y29" s="67"/>
      <c r="Z29" s="67"/>
    </row>
    <row r="30" spans="1:26" ht="15" customHeight="1">
      <c r="A30" s="67" t="s">
        <v>575</v>
      </c>
      <c r="B30" s="67" t="s">
        <v>576</v>
      </c>
      <c r="C30" s="67" t="s">
        <v>577</v>
      </c>
      <c r="D30" s="67" t="s">
        <v>578</v>
      </c>
      <c r="E30" s="67" t="s">
        <v>579</v>
      </c>
      <c r="F30" s="67" t="s">
        <v>580</v>
      </c>
      <c r="G30" s="67"/>
      <c r="H30" s="67"/>
      <c r="I30" s="67"/>
      <c r="J30" s="67"/>
      <c r="K30" s="67"/>
      <c r="L30" s="67"/>
      <c r="M30" s="67"/>
      <c r="N30" s="67"/>
      <c r="O30" s="67"/>
      <c r="P30" s="67"/>
      <c r="Q30" s="67"/>
      <c r="R30" s="67"/>
      <c r="S30" s="67"/>
      <c r="T30" s="67"/>
      <c r="U30" s="67"/>
      <c r="V30" s="67"/>
      <c r="W30" s="67"/>
      <c r="X30" s="67"/>
      <c r="Y30" s="67"/>
      <c r="Z30" s="67"/>
    </row>
    <row r="31" spans="1:26" ht="15" customHeight="1">
      <c r="A31" s="67" t="s">
        <v>581</v>
      </c>
      <c r="B31" s="67" t="s">
        <v>582</v>
      </c>
      <c r="C31" s="67" t="s">
        <v>583</v>
      </c>
      <c r="D31" s="67" t="s">
        <v>584</v>
      </c>
      <c r="E31" s="67" t="s">
        <v>585</v>
      </c>
      <c r="F31" s="67" t="s">
        <v>586</v>
      </c>
      <c r="G31" s="67"/>
      <c r="H31" s="67"/>
      <c r="I31" s="67"/>
      <c r="J31" s="67"/>
      <c r="K31" s="67"/>
      <c r="L31" s="67"/>
      <c r="M31" s="67"/>
      <c r="N31" s="67"/>
      <c r="O31" s="67"/>
      <c r="P31" s="67"/>
      <c r="Q31" s="67"/>
      <c r="R31" s="67"/>
      <c r="S31" s="67"/>
      <c r="T31" s="67"/>
      <c r="U31" s="67"/>
      <c r="V31" s="67"/>
      <c r="W31" s="67"/>
      <c r="X31" s="67"/>
      <c r="Y31" s="67"/>
      <c r="Z31" s="67"/>
    </row>
    <row r="32" spans="1:26" ht="15" customHeight="1">
      <c r="A32" s="67" t="s">
        <v>587</v>
      </c>
      <c r="B32" s="67" t="s">
        <v>588</v>
      </c>
      <c r="C32" s="67" t="s">
        <v>589</v>
      </c>
      <c r="D32" s="67" t="s">
        <v>590</v>
      </c>
      <c r="E32" s="67" t="s">
        <v>591</v>
      </c>
      <c r="F32" s="67" t="s">
        <v>592</v>
      </c>
      <c r="G32" s="67"/>
      <c r="H32" s="67"/>
      <c r="I32" s="67"/>
      <c r="J32" s="67"/>
      <c r="K32" s="67"/>
      <c r="L32" s="67"/>
      <c r="M32" s="67"/>
      <c r="N32" s="67"/>
      <c r="O32" s="67"/>
      <c r="P32" s="67"/>
      <c r="Q32" s="67"/>
      <c r="R32" s="67"/>
      <c r="S32" s="67"/>
      <c r="T32" s="67"/>
      <c r="U32" s="67"/>
      <c r="V32" s="67"/>
      <c r="W32" s="67"/>
      <c r="X32" s="67"/>
      <c r="Y32" s="67"/>
      <c r="Z32" s="67"/>
    </row>
    <row r="33" spans="1:26" ht="15" customHeight="1">
      <c r="A33" s="67" t="s">
        <v>593</v>
      </c>
      <c r="B33" s="67" t="s">
        <v>594</v>
      </c>
      <c r="C33" s="67" t="s">
        <v>595</v>
      </c>
      <c r="D33" s="67" t="s">
        <v>596</v>
      </c>
      <c r="E33" s="67" t="s">
        <v>597</v>
      </c>
      <c r="F33" s="67" t="s">
        <v>598</v>
      </c>
      <c r="G33" s="67"/>
      <c r="H33" s="67"/>
      <c r="I33" s="67"/>
      <c r="J33" s="67"/>
      <c r="K33" s="67"/>
      <c r="L33" s="67"/>
      <c r="M33" s="67"/>
      <c r="N33" s="67"/>
      <c r="O33" s="67"/>
      <c r="P33" s="67"/>
      <c r="Q33" s="67"/>
      <c r="R33" s="67"/>
      <c r="S33" s="67"/>
      <c r="T33" s="67"/>
      <c r="U33" s="67"/>
      <c r="V33" s="67"/>
      <c r="W33" s="67"/>
      <c r="X33" s="67"/>
      <c r="Y33" s="67"/>
      <c r="Z33" s="67"/>
    </row>
    <row r="34" spans="1:26" ht="15" customHeight="1">
      <c r="A34" s="67" t="s">
        <v>599</v>
      </c>
      <c r="B34" s="67" t="s">
        <v>600</v>
      </c>
      <c r="C34" s="67" t="s">
        <v>601</v>
      </c>
      <c r="D34" s="67" t="s">
        <v>602</v>
      </c>
      <c r="E34" s="67" t="s">
        <v>603</v>
      </c>
      <c r="F34" s="67" t="s">
        <v>604</v>
      </c>
      <c r="G34" s="67"/>
      <c r="H34" s="67"/>
      <c r="I34" s="67"/>
      <c r="J34" s="67"/>
      <c r="K34" s="67"/>
      <c r="L34" s="67"/>
      <c r="M34" s="67"/>
      <c r="N34" s="67"/>
      <c r="O34" s="67"/>
      <c r="P34" s="67"/>
      <c r="Q34" s="67"/>
      <c r="R34" s="67"/>
      <c r="S34" s="67"/>
      <c r="T34" s="67"/>
      <c r="U34" s="67"/>
      <c r="V34" s="67"/>
      <c r="W34" s="67"/>
      <c r="X34" s="67"/>
      <c r="Y34" s="67"/>
      <c r="Z34" s="67"/>
    </row>
    <row r="35" spans="1:26" ht="15" customHeight="1">
      <c r="A35" s="67" t="s">
        <v>605</v>
      </c>
      <c r="B35" s="67" t="s">
        <v>606</v>
      </c>
      <c r="C35" s="67" t="s">
        <v>607</v>
      </c>
      <c r="D35" s="67" t="s">
        <v>608</v>
      </c>
      <c r="E35" s="67" t="s">
        <v>609</v>
      </c>
      <c r="F35" s="67" t="s">
        <v>610</v>
      </c>
      <c r="G35" s="67"/>
      <c r="H35" s="67"/>
      <c r="I35" s="67"/>
      <c r="J35" s="67"/>
      <c r="K35" s="67"/>
      <c r="L35" s="67"/>
      <c r="M35" s="67"/>
      <c r="N35" s="67"/>
      <c r="O35" s="67"/>
      <c r="P35" s="67"/>
      <c r="Q35" s="67"/>
      <c r="R35" s="67"/>
      <c r="S35" s="67"/>
      <c r="T35" s="67"/>
      <c r="U35" s="67"/>
      <c r="V35" s="67"/>
      <c r="W35" s="67"/>
      <c r="X35" s="67"/>
      <c r="Y35" s="67"/>
      <c r="Z35" s="67"/>
    </row>
    <row r="36" spans="1:26" ht="15" customHeight="1">
      <c r="A36" s="67" t="s">
        <v>611</v>
      </c>
      <c r="B36" s="67" t="s">
        <v>612</v>
      </c>
      <c r="C36" s="67" t="s">
        <v>613</v>
      </c>
      <c r="D36" s="67" t="s">
        <v>614</v>
      </c>
      <c r="E36" s="67" t="s">
        <v>615</v>
      </c>
      <c r="F36" s="67" t="s">
        <v>616</v>
      </c>
      <c r="G36" s="67"/>
      <c r="H36" s="67"/>
      <c r="I36" s="67"/>
      <c r="J36" s="67"/>
      <c r="K36" s="67"/>
      <c r="L36" s="67"/>
      <c r="M36" s="67"/>
      <c r="N36" s="67"/>
      <c r="O36" s="67"/>
      <c r="P36" s="67"/>
      <c r="Q36" s="67"/>
      <c r="R36" s="67"/>
      <c r="S36" s="67"/>
      <c r="T36" s="67"/>
      <c r="U36" s="67"/>
      <c r="V36" s="67"/>
      <c r="W36" s="67"/>
      <c r="X36" s="67"/>
      <c r="Y36" s="67"/>
      <c r="Z36" s="67"/>
    </row>
    <row r="37" spans="1:26" ht="227" customHeight="1">
      <c r="A37" s="67" t="s">
        <v>617</v>
      </c>
      <c r="B37" s="129" t="s">
        <v>618</v>
      </c>
      <c r="C37" s="67" t="s">
        <v>619</v>
      </c>
      <c r="D37" s="67" t="s">
        <v>620</v>
      </c>
      <c r="E37" s="67" t="s">
        <v>621</v>
      </c>
      <c r="F37" s="67" t="s">
        <v>622</v>
      </c>
      <c r="G37" s="67"/>
      <c r="H37" s="67"/>
      <c r="I37" s="67"/>
      <c r="J37" s="67"/>
      <c r="K37" s="67"/>
      <c r="L37" s="67"/>
      <c r="M37" s="67"/>
      <c r="N37" s="67"/>
      <c r="O37" s="67"/>
      <c r="P37" s="67"/>
      <c r="Q37" s="67"/>
      <c r="R37" s="67"/>
      <c r="S37" s="67"/>
      <c r="T37" s="67"/>
      <c r="U37" s="67"/>
      <c r="V37" s="67"/>
      <c r="W37" s="67"/>
      <c r="X37" s="67"/>
      <c r="Y37" s="67"/>
      <c r="Z37" s="67"/>
    </row>
    <row r="38" spans="1:26" ht="15" customHeight="1">
      <c r="A38" s="67" t="s">
        <v>623</v>
      </c>
      <c r="B38" s="67" t="s">
        <v>624</v>
      </c>
      <c r="C38" s="67" t="s">
        <v>625</v>
      </c>
      <c r="D38" s="67" t="s">
        <v>626</v>
      </c>
      <c r="E38" s="67" t="s">
        <v>627</v>
      </c>
      <c r="F38" s="67" t="s">
        <v>628</v>
      </c>
      <c r="G38" s="67"/>
      <c r="H38" s="67"/>
      <c r="I38" s="67"/>
      <c r="J38" s="67"/>
      <c r="K38" s="67"/>
      <c r="L38" s="67"/>
      <c r="M38" s="67"/>
      <c r="N38" s="67"/>
      <c r="O38" s="67"/>
      <c r="P38" s="67"/>
      <c r="Q38" s="67"/>
      <c r="R38" s="67"/>
      <c r="S38" s="67"/>
      <c r="T38" s="67"/>
      <c r="U38" s="67"/>
      <c r="V38" s="67"/>
      <c r="W38" s="67"/>
      <c r="X38" s="67"/>
      <c r="Y38" s="67"/>
      <c r="Z38" s="67"/>
    </row>
    <row r="39" spans="1:26" ht="15" customHeight="1">
      <c r="A39" s="67" t="s">
        <v>629</v>
      </c>
      <c r="B39" s="67" t="s">
        <v>630</v>
      </c>
      <c r="C39" s="67" t="s">
        <v>631</v>
      </c>
      <c r="D39" s="67" t="s">
        <v>632</v>
      </c>
      <c r="E39" s="67" t="s">
        <v>633</v>
      </c>
      <c r="F39" s="67" t="s">
        <v>631</v>
      </c>
      <c r="G39" s="67"/>
      <c r="H39" s="67"/>
      <c r="I39" s="67"/>
      <c r="J39" s="67"/>
      <c r="K39" s="67"/>
      <c r="L39" s="67"/>
      <c r="M39" s="67"/>
      <c r="N39" s="67"/>
      <c r="O39" s="67"/>
      <c r="P39" s="67"/>
      <c r="Q39" s="67"/>
      <c r="R39" s="67"/>
      <c r="S39" s="67"/>
      <c r="T39" s="67"/>
      <c r="U39" s="67"/>
      <c r="V39" s="67"/>
      <c r="W39" s="67"/>
      <c r="X39" s="67"/>
      <c r="Y39" s="67"/>
      <c r="Z39" s="67"/>
    </row>
    <row r="40" spans="1:26" ht="15" customHeight="1">
      <c r="A40" s="67" t="s">
        <v>634</v>
      </c>
      <c r="B40" s="67" t="s">
        <v>635</v>
      </c>
      <c r="C40" s="67" t="s">
        <v>636</v>
      </c>
      <c r="D40" s="67" t="s">
        <v>637</v>
      </c>
      <c r="E40" s="67" t="s">
        <v>638</v>
      </c>
      <c r="F40" s="67" t="s">
        <v>639</v>
      </c>
      <c r="G40" s="67"/>
      <c r="H40" s="67"/>
      <c r="I40" s="67"/>
      <c r="J40" s="67"/>
      <c r="K40" s="67"/>
      <c r="L40" s="67"/>
      <c r="M40" s="67"/>
      <c r="N40" s="67"/>
      <c r="O40" s="67"/>
      <c r="P40" s="67"/>
      <c r="Q40" s="67"/>
      <c r="R40" s="67"/>
      <c r="S40" s="67"/>
      <c r="T40" s="67"/>
      <c r="U40" s="67"/>
      <c r="V40" s="67"/>
      <c r="W40" s="67"/>
      <c r="X40" s="67"/>
      <c r="Y40" s="67"/>
      <c r="Z40" s="67"/>
    </row>
    <row r="41" spans="1:26" ht="15" customHeight="1">
      <c r="A41" s="67" t="s">
        <v>640</v>
      </c>
      <c r="B41" s="67" t="s">
        <v>641</v>
      </c>
      <c r="C41" s="67" t="s">
        <v>642</v>
      </c>
      <c r="D41" s="67" t="s">
        <v>643</v>
      </c>
      <c r="E41" s="67" t="s">
        <v>644</v>
      </c>
      <c r="F41" s="67" t="s">
        <v>645</v>
      </c>
      <c r="G41" s="67"/>
      <c r="H41" s="67"/>
      <c r="I41" s="67"/>
      <c r="J41" s="67"/>
      <c r="K41" s="67"/>
      <c r="L41" s="67"/>
      <c r="M41" s="67"/>
      <c r="N41" s="67"/>
      <c r="O41" s="67"/>
      <c r="P41" s="67"/>
      <c r="Q41" s="67"/>
      <c r="R41" s="67"/>
      <c r="S41" s="67"/>
      <c r="T41" s="67"/>
      <c r="U41" s="67"/>
      <c r="V41" s="67"/>
      <c r="W41" s="67"/>
      <c r="X41" s="67"/>
      <c r="Y41" s="67"/>
      <c r="Z41" s="67"/>
    </row>
    <row r="42" spans="1:26" ht="15" customHeight="1">
      <c r="A42" s="67" t="s">
        <v>646</v>
      </c>
      <c r="B42" s="67" t="s">
        <v>647</v>
      </c>
      <c r="C42" s="67" t="s">
        <v>648</v>
      </c>
      <c r="D42" s="67" t="s">
        <v>649</v>
      </c>
      <c r="E42" s="67" t="s">
        <v>650</v>
      </c>
      <c r="F42" s="67" t="s">
        <v>651</v>
      </c>
      <c r="G42" s="67"/>
      <c r="H42" s="67"/>
      <c r="I42" s="67"/>
      <c r="J42" s="67"/>
      <c r="K42" s="67"/>
      <c r="L42" s="67"/>
      <c r="M42" s="67"/>
      <c r="N42" s="67"/>
      <c r="O42" s="67"/>
      <c r="P42" s="67"/>
      <c r="Q42" s="67"/>
      <c r="R42" s="67"/>
      <c r="S42" s="67"/>
      <c r="T42" s="67"/>
      <c r="U42" s="67"/>
      <c r="V42" s="67"/>
      <c r="W42" s="67"/>
      <c r="X42" s="67"/>
      <c r="Y42" s="67"/>
      <c r="Z42" s="67"/>
    </row>
    <row r="43" spans="1:26" ht="15" customHeight="1">
      <c r="A43" s="67" t="s">
        <v>652</v>
      </c>
      <c r="B43" s="67" t="s">
        <v>653</v>
      </c>
      <c r="C43" s="67" t="s">
        <v>654</v>
      </c>
      <c r="D43" s="67" t="s">
        <v>655</v>
      </c>
      <c r="E43" s="67" t="s">
        <v>656</v>
      </c>
      <c r="F43" s="67" t="s">
        <v>657</v>
      </c>
      <c r="G43" s="67"/>
      <c r="H43" s="67"/>
      <c r="I43" s="67"/>
      <c r="J43" s="67"/>
      <c r="K43" s="67"/>
      <c r="L43" s="67"/>
      <c r="M43" s="67"/>
      <c r="N43" s="67"/>
      <c r="O43" s="67"/>
      <c r="P43" s="67"/>
      <c r="Q43" s="67"/>
      <c r="R43" s="67"/>
      <c r="S43" s="67"/>
      <c r="T43" s="67"/>
      <c r="U43" s="67"/>
      <c r="V43" s="67"/>
      <c r="W43" s="67"/>
      <c r="X43" s="67"/>
      <c r="Y43" s="67"/>
      <c r="Z43" s="67"/>
    </row>
    <row r="44" spans="1:26" ht="15" customHeight="1">
      <c r="A44" s="67" t="s">
        <v>658</v>
      </c>
      <c r="B44" s="67" t="s">
        <v>659</v>
      </c>
      <c r="C44" s="67" t="s">
        <v>660</v>
      </c>
      <c r="D44" s="67" t="s">
        <v>661</v>
      </c>
      <c r="E44" s="67" t="s">
        <v>662</v>
      </c>
      <c r="F44" s="67" t="s">
        <v>663</v>
      </c>
      <c r="G44" s="67"/>
      <c r="H44" s="67"/>
      <c r="I44" s="67"/>
      <c r="J44" s="67"/>
      <c r="K44" s="67"/>
      <c r="L44" s="67"/>
      <c r="M44" s="67"/>
      <c r="N44" s="67"/>
      <c r="O44" s="67"/>
      <c r="P44" s="67"/>
      <c r="Q44" s="67"/>
      <c r="R44" s="67"/>
      <c r="S44" s="67"/>
      <c r="T44" s="67"/>
      <c r="U44" s="67"/>
      <c r="V44" s="67"/>
      <c r="W44" s="67"/>
      <c r="X44" s="67"/>
      <c r="Y44" s="67"/>
      <c r="Z44" s="67"/>
    </row>
    <row r="45" spans="1:26" ht="15" customHeight="1">
      <c r="A45" s="67" t="s">
        <v>664</v>
      </c>
      <c r="B45" s="67" t="s">
        <v>665</v>
      </c>
      <c r="C45" s="67" t="s">
        <v>666</v>
      </c>
      <c r="D45" s="67" t="s">
        <v>667</v>
      </c>
      <c r="E45" s="67" t="s">
        <v>668</v>
      </c>
      <c r="F45" s="67" t="s">
        <v>669</v>
      </c>
      <c r="G45" s="67"/>
      <c r="H45" s="67"/>
      <c r="I45" s="67"/>
      <c r="J45" s="67"/>
      <c r="K45" s="67"/>
      <c r="L45" s="67"/>
      <c r="M45" s="67"/>
      <c r="N45" s="67"/>
      <c r="O45" s="67"/>
      <c r="P45" s="67"/>
      <c r="Q45" s="67"/>
      <c r="R45" s="67"/>
      <c r="S45" s="67"/>
      <c r="T45" s="67"/>
      <c r="U45" s="67"/>
      <c r="V45" s="67"/>
      <c r="W45" s="67"/>
      <c r="X45" s="67"/>
      <c r="Y45" s="67"/>
      <c r="Z45" s="67"/>
    </row>
    <row r="46" spans="1:26" ht="15" customHeight="1">
      <c r="A46" s="67" t="s">
        <v>670</v>
      </c>
      <c r="B46" s="67" t="s">
        <v>671</v>
      </c>
      <c r="C46" s="67" t="s">
        <v>672</v>
      </c>
      <c r="D46" s="67" t="s">
        <v>673</v>
      </c>
      <c r="E46" s="67" t="s">
        <v>674</v>
      </c>
      <c r="F46" s="67" t="s">
        <v>675</v>
      </c>
      <c r="G46" s="67"/>
      <c r="H46" s="67"/>
      <c r="I46" s="67"/>
      <c r="J46" s="67"/>
      <c r="K46" s="67"/>
      <c r="L46" s="67"/>
      <c r="M46" s="67"/>
      <c r="N46" s="67"/>
      <c r="O46" s="67"/>
      <c r="P46" s="67"/>
      <c r="Q46" s="67"/>
      <c r="R46" s="67"/>
      <c r="S46" s="67"/>
      <c r="T46" s="67"/>
      <c r="U46" s="67"/>
      <c r="V46" s="67"/>
      <c r="W46" s="67"/>
      <c r="X46" s="67"/>
      <c r="Y46" s="67"/>
      <c r="Z46" s="67"/>
    </row>
    <row r="47" spans="1:26" ht="15" customHeight="1">
      <c r="A47" s="67" t="s">
        <v>676</v>
      </c>
      <c r="B47" s="67" t="s">
        <v>677</v>
      </c>
      <c r="C47" s="67" t="s">
        <v>678</v>
      </c>
      <c r="D47" s="67" t="s">
        <v>679</v>
      </c>
      <c r="E47" s="67" t="s">
        <v>680</v>
      </c>
      <c r="F47" s="67" t="s">
        <v>678</v>
      </c>
      <c r="G47" s="67"/>
      <c r="H47" s="67"/>
      <c r="I47" s="67"/>
      <c r="J47" s="67"/>
      <c r="K47" s="67"/>
      <c r="L47" s="67"/>
      <c r="M47" s="67"/>
      <c r="N47" s="67"/>
      <c r="O47" s="67"/>
      <c r="P47" s="67"/>
      <c r="Q47" s="67"/>
      <c r="R47" s="67"/>
      <c r="S47" s="67"/>
      <c r="T47" s="67"/>
      <c r="U47" s="67"/>
      <c r="V47" s="67"/>
      <c r="W47" s="67"/>
      <c r="X47" s="67"/>
      <c r="Y47" s="67"/>
      <c r="Z47" s="67"/>
    </row>
    <row r="48" spans="1:26" ht="15" customHeight="1">
      <c r="A48" s="67" t="s">
        <v>681</v>
      </c>
      <c r="B48" s="67" t="s">
        <v>682</v>
      </c>
      <c r="C48" s="67" t="s">
        <v>683</v>
      </c>
      <c r="D48" s="67" t="s">
        <v>684</v>
      </c>
      <c r="E48" s="67" t="s">
        <v>685</v>
      </c>
      <c r="F48" s="67" t="s">
        <v>686</v>
      </c>
      <c r="G48" s="67"/>
      <c r="H48" s="67"/>
      <c r="I48" s="67"/>
      <c r="J48" s="67"/>
      <c r="K48" s="67"/>
      <c r="L48" s="67"/>
      <c r="M48" s="67"/>
      <c r="N48" s="67"/>
      <c r="O48" s="67"/>
      <c r="P48" s="67"/>
      <c r="Q48" s="67"/>
      <c r="R48" s="67"/>
      <c r="S48" s="67"/>
      <c r="T48" s="67"/>
      <c r="U48" s="67"/>
      <c r="V48" s="67"/>
      <c r="W48" s="67"/>
      <c r="X48" s="67"/>
      <c r="Y48" s="67"/>
      <c r="Z48" s="67"/>
    </row>
    <row r="49" spans="1:26" ht="15" customHeight="1">
      <c r="A49" s="67" t="s">
        <v>687</v>
      </c>
      <c r="B49" s="67" t="s">
        <v>688</v>
      </c>
      <c r="C49" s="67" t="s">
        <v>689</v>
      </c>
      <c r="D49" s="67" t="s">
        <v>690</v>
      </c>
      <c r="E49" s="67" t="s">
        <v>691</v>
      </c>
      <c r="F49" s="67" t="s">
        <v>692</v>
      </c>
      <c r="G49" s="67"/>
      <c r="H49" s="67"/>
      <c r="I49" s="67"/>
      <c r="J49" s="67"/>
      <c r="K49" s="67"/>
      <c r="L49" s="67"/>
      <c r="M49" s="67"/>
      <c r="N49" s="67"/>
      <c r="O49" s="67"/>
      <c r="P49" s="67"/>
      <c r="Q49" s="67"/>
      <c r="R49" s="67"/>
      <c r="S49" s="67"/>
      <c r="T49" s="67"/>
      <c r="U49" s="67"/>
      <c r="V49" s="67"/>
      <c r="W49" s="67"/>
      <c r="X49" s="67"/>
      <c r="Y49" s="67"/>
      <c r="Z49" s="67"/>
    </row>
    <row r="50" spans="1:26" ht="15" customHeight="1">
      <c r="A50" s="67" t="s">
        <v>693</v>
      </c>
      <c r="B50" s="67" t="s">
        <v>694</v>
      </c>
      <c r="C50" s="67" t="s">
        <v>695</v>
      </c>
      <c r="D50" s="67" t="s">
        <v>696</v>
      </c>
      <c r="E50" s="67" t="s">
        <v>697</v>
      </c>
      <c r="F50" s="67" t="s">
        <v>698</v>
      </c>
      <c r="G50" s="67"/>
      <c r="H50" s="67"/>
      <c r="I50" s="67"/>
      <c r="J50" s="67"/>
      <c r="K50" s="67"/>
      <c r="L50" s="67"/>
      <c r="M50" s="67"/>
      <c r="N50" s="67"/>
      <c r="O50" s="67"/>
      <c r="P50" s="67"/>
      <c r="Q50" s="67"/>
      <c r="R50" s="67"/>
      <c r="S50" s="67"/>
      <c r="T50" s="67"/>
      <c r="U50" s="67"/>
      <c r="V50" s="67"/>
      <c r="W50" s="67"/>
      <c r="X50" s="67"/>
      <c r="Y50" s="67"/>
      <c r="Z50" s="67"/>
    </row>
    <row r="51" spans="1:26" ht="15" customHeight="1">
      <c r="A51" s="67" t="s">
        <v>699</v>
      </c>
      <c r="B51" s="67" t="s">
        <v>700</v>
      </c>
      <c r="C51" s="67" t="s">
        <v>701</v>
      </c>
      <c r="D51" s="67" t="s">
        <v>702</v>
      </c>
      <c r="E51" s="67" t="s">
        <v>703</v>
      </c>
      <c r="F51" s="67" t="s">
        <v>701</v>
      </c>
      <c r="G51" s="67"/>
      <c r="H51" s="67"/>
      <c r="I51" s="67"/>
      <c r="J51" s="67"/>
      <c r="K51" s="67"/>
      <c r="L51" s="67"/>
      <c r="M51" s="67"/>
      <c r="N51" s="67"/>
      <c r="O51" s="67"/>
      <c r="P51" s="67"/>
      <c r="Q51" s="67"/>
      <c r="R51" s="67"/>
      <c r="S51" s="67"/>
      <c r="T51" s="67"/>
      <c r="U51" s="67"/>
      <c r="V51" s="67"/>
      <c r="W51" s="67"/>
      <c r="X51" s="67"/>
      <c r="Y51" s="67"/>
      <c r="Z51" s="67"/>
    </row>
    <row r="52" spans="1:26" ht="15" customHeight="1">
      <c r="A52" s="67" t="s">
        <v>704</v>
      </c>
      <c r="B52" s="67" t="s">
        <v>705</v>
      </c>
      <c r="C52" s="67" t="s">
        <v>706</v>
      </c>
      <c r="D52" s="67" t="s">
        <v>706</v>
      </c>
      <c r="E52" s="67" t="s">
        <v>706</v>
      </c>
      <c r="F52" s="67" t="s">
        <v>706</v>
      </c>
      <c r="G52" s="67"/>
      <c r="H52" s="67"/>
      <c r="I52" s="67"/>
      <c r="J52" s="67"/>
      <c r="K52" s="67"/>
      <c r="L52" s="67"/>
      <c r="M52" s="67"/>
      <c r="N52" s="67"/>
      <c r="O52" s="67"/>
      <c r="P52" s="67"/>
      <c r="Q52" s="67"/>
      <c r="R52" s="67"/>
      <c r="S52" s="67"/>
      <c r="T52" s="67"/>
      <c r="U52" s="67"/>
      <c r="V52" s="67"/>
      <c r="W52" s="67"/>
      <c r="X52" s="67"/>
      <c r="Y52" s="67"/>
      <c r="Z52" s="67"/>
    </row>
    <row r="53" spans="1:26" ht="15" customHeight="1">
      <c r="A53" s="67" t="s">
        <v>707</v>
      </c>
      <c r="B53" s="67" t="s">
        <v>708</v>
      </c>
      <c r="C53" s="67" t="s">
        <v>709</v>
      </c>
      <c r="D53" s="67" t="s">
        <v>710</v>
      </c>
      <c r="E53" s="67" t="s">
        <v>711</v>
      </c>
      <c r="F53" s="67" t="s">
        <v>712</v>
      </c>
      <c r="G53" s="67"/>
      <c r="H53" s="67"/>
      <c r="I53" s="67"/>
      <c r="J53" s="67"/>
      <c r="K53" s="67"/>
      <c r="L53" s="67"/>
      <c r="M53" s="67"/>
      <c r="N53" s="67"/>
      <c r="O53" s="67"/>
      <c r="P53" s="67"/>
      <c r="Q53" s="67"/>
      <c r="R53" s="67"/>
      <c r="S53" s="67"/>
      <c r="T53" s="67"/>
      <c r="U53" s="67"/>
      <c r="V53" s="67"/>
      <c r="W53" s="67"/>
      <c r="X53" s="67"/>
      <c r="Y53" s="67"/>
      <c r="Z53" s="67"/>
    </row>
    <row r="54" spans="1:26" ht="15" customHeight="1">
      <c r="A54" s="67" t="s">
        <v>713</v>
      </c>
      <c r="B54" s="67" t="s">
        <v>714</v>
      </c>
      <c r="C54" s="67" t="s">
        <v>715</v>
      </c>
      <c r="D54" s="67" t="s">
        <v>716</v>
      </c>
      <c r="E54" s="67" t="s">
        <v>717</v>
      </c>
      <c r="F54" s="67" t="s">
        <v>718</v>
      </c>
      <c r="G54" s="67"/>
      <c r="H54" s="67"/>
      <c r="I54" s="67"/>
      <c r="J54" s="67"/>
      <c r="K54" s="67"/>
      <c r="L54" s="67"/>
      <c r="M54" s="67"/>
      <c r="N54" s="67"/>
      <c r="O54" s="67"/>
      <c r="P54" s="67"/>
      <c r="Q54" s="67"/>
      <c r="R54" s="67"/>
      <c r="S54" s="67"/>
      <c r="T54" s="67"/>
      <c r="U54" s="67"/>
      <c r="V54" s="67"/>
      <c r="W54" s="67"/>
      <c r="X54" s="67"/>
      <c r="Y54" s="67"/>
      <c r="Z54" s="67"/>
    </row>
    <row r="55" spans="1:26" ht="15" customHeight="1">
      <c r="A55" s="67" t="s">
        <v>719</v>
      </c>
      <c r="B55" s="67" t="s">
        <v>720</v>
      </c>
      <c r="C55" s="67" t="s">
        <v>721</v>
      </c>
      <c r="D55" s="67" t="s">
        <v>722</v>
      </c>
      <c r="E55" s="67" t="s">
        <v>723</v>
      </c>
      <c r="F55" s="67" t="s">
        <v>724</v>
      </c>
      <c r="G55" s="67"/>
      <c r="H55" s="67"/>
      <c r="I55" s="67"/>
      <c r="J55" s="67"/>
      <c r="K55" s="67"/>
      <c r="L55" s="67"/>
      <c r="M55" s="67"/>
      <c r="N55" s="67"/>
      <c r="O55" s="67"/>
      <c r="P55" s="67"/>
      <c r="Q55" s="67"/>
      <c r="R55" s="67"/>
      <c r="S55" s="67"/>
      <c r="T55" s="67"/>
      <c r="U55" s="67"/>
      <c r="V55" s="67"/>
      <c r="W55" s="67"/>
      <c r="X55" s="67"/>
      <c r="Y55" s="67"/>
      <c r="Z55" s="67"/>
    </row>
    <row r="56" spans="1:26" ht="15" customHeight="1">
      <c r="A56" s="67" t="s">
        <v>725</v>
      </c>
      <c r="B56" s="67" t="s">
        <v>726</v>
      </c>
      <c r="C56" s="67" t="s">
        <v>727</v>
      </c>
      <c r="D56" s="67" t="s">
        <v>728</v>
      </c>
      <c r="E56" s="67" t="s">
        <v>729</v>
      </c>
      <c r="F56" s="67" t="s">
        <v>727</v>
      </c>
      <c r="G56" s="67"/>
      <c r="H56" s="67"/>
      <c r="I56" s="67"/>
      <c r="J56" s="67"/>
      <c r="K56" s="67"/>
      <c r="L56" s="67"/>
      <c r="M56" s="67"/>
      <c r="N56" s="67"/>
      <c r="O56" s="67"/>
      <c r="P56" s="67"/>
      <c r="Q56" s="67"/>
      <c r="R56" s="67"/>
      <c r="S56" s="67"/>
      <c r="T56" s="67"/>
      <c r="U56" s="67"/>
      <c r="V56" s="67"/>
      <c r="W56" s="67"/>
      <c r="X56" s="67"/>
      <c r="Y56" s="67"/>
      <c r="Z56" s="67"/>
    </row>
    <row r="57" spans="1:26" ht="15" customHeight="1">
      <c r="A57" s="67" t="s">
        <v>730</v>
      </c>
      <c r="B57" s="67" t="s">
        <v>731</v>
      </c>
      <c r="C57" s="67" t="s">
        <v>732</v>
      </c>
      <c r="D57" s="67" t="s">
        <v>733</v>
      </c>
      <c r="E57" s="67" t="s">
        <v>734</v>
      </c>
      <c r="F57" s="67" t="s">
        <v>735</v>
      </c>
      <c r="G57" s="67"/>
      <c r="H57" s="67"/>
      <c r="I57" s="67"/>
      <c r="J57" s="67"/>
      <c r="K57" s="67"/>
      <c r="L57" s="67"/>
      <c r="M57" s="67"/>
      <c r="N57" s="67"/>
      <c r="O57" s="67"/>
      <c r="P57" s="67"/>
      <c r="Q57" s="67"/>
      <c r="R57" s="67"/>
      <c r="S57" s="67"/>
      <c r="T57" s="67"/>
      <c r="U57" s="67"/>
      <c r="V57" s="67"/>
      <c r="W57" s="67"/>
      <c r="X57" s="67"/>
      <c r="Y57" s="67"/>
      <c r="Z57" s="67"/>
    </row>
    <row r="58" spans="1:26" ht="15" customHeight="1">
      <c r="A58" s="67" t="s">
        <v>736</v>
      </c>
      <c r="B58" s="67" t="s">
        <v>133</v>
      </c>
      <c r="C58" s="67" t="s">
        <v>133</v>
      </c>
      <c r="D58" s="67" t="s">
        <v>133</v>
      </c>
      <c r="E58" s="67" t="s">
        <v>133</v>
      </c>
      <c r="F58" s="67" t="s">
        <v>133</v>
      </c>
      <c r="G58" s="67"/>
      <c r="H58" s="67"/>
      <c r="I58" s="67"/>
      <c r="J58" s="67"/>
      <c r="K58" s="67"/>
      <c r="L58" s="67"/>
      <c r="M58" s="67"/>
      <c r="N58" s="67"/>
      <c r="O58" s="67"/>
      <c r="P58" s="67"/>
      <c r="Q58" s="67"/>
      <c r="R58" s="67"/>
      <c r="S58" s="67"/>
      <c r="T58" s="67"/>
      <c r="U58" s="67"/>
      <c r="V58" s="67"/>
      <c r="W58" s="67"/>
      <c r="X58" s="67"/>
      <c r="Y58" s="67"/>
      <c r="Z58" s="67"/>
    </row>
    <row r="59" spans="1:26" ht="15" customHeight="1">
      <c r="A59" s="67" t="s">
        <v>737</v>
      </c>
      <c r="B59" s="67" t="s">
        <v>738</v>
      </c>
      <c r="C59" s="67" t="s">
        <v>739</v>
      </c>
      <c r="D59" s="67" t="s">
        <v>740</v>
      </c>
      <c r="E59" s="67" t="s">
        <v>741</v>
      </c>
      <c r="F59" s="67" t="s">
        <v>742</v>
      </c>
      <c r="G59" s="67"/>
      <c r="H59" s="67"/>
      <c r="I59" s="67"/>
      <c r="J59" s="67"/>
      <c r="K59" s="67"/>
      <c r="L59" s="67"/>
      <c r="M59" s="67"/>
      <c r="N59" s="67"/>
      <c r="O59" s="67"/>
      <c r="P59" s="67"/>
      <c r="Q59" s="67"/>
      <c r="R59" s="67"/>
      <c r="S59" s="67"/>
      <c r="T59" s="67"/>
      <c r="U59" s="67"/>
      <c r="V59" s="67"/>
      <c r="W59" s="67"/>
      <c r="X59" s="67"/>
      <c r="Y59" s="67"/>
      <c r="Z59" s="67"/>
    </row>
    <row r="60" spans="1:26" ht="15" customHeight="1">
      <c r="A60" s="67" t="s">
        <v>743</v>
      </c>
      <c r="B60" s="67" t="s">
        <v>694</v>
      </c>
      <c r="C60" s="67" t="s">
        <v>744</v>
      </c>
      <c r="D60" s="67" t="s">
        <v>745</v>
      </c>
      <c r="E60" s="67" t="s">
        <v>746</v>
      </c>
      <c r="F60" s="67" t="s">
        <v>747</v>
      </c>
      <c r="G60" s="67"/>
      <c r="H60" s="67"/>
      <c r="I60" s="67"/>
      <c r="J60" s="67"/>
      <c r="K60" s="67"/>
      <c r="L60" s="67"/>
      <c r="M60" s="67"/>
      <c r="N60" s="67"/>
      <c r="O60" s="67"/>
      <c r="P60" s="67"/>
      <c r="Q60" s="67"/>
      <c r="R60" s="67"/>
      <c r="S60" s="67"/>
      <c r="T60" s="67"/>
      <c r="U60" s="67"/>
      <c r="V60" s="67"/>
      <c r="W60" s="67"/>
      <c r="X60" s="67"/>
      <c r="Y60" s="67"/>
      <c r="Z60" s="67"/>
    </row>
    <row r="61" spans="1:26" ht="15" customHeight="1">
      <c r="A61" s="67" t="s">
        <v>748</v>
      </c>
      <c r="B61" s="67" t="s">
        <v>749</v>
      </c>
      <c r="C61" s="67" t="s">
        <v>750</v>
      </c>
      <c r="D61" s="67" t="s">
        <v>751</v>
      </c>
      <c r="E61" s="67" t="s">
        <v>752</v>
      </c>
      <c r="F61" s="67" t="s">
        <v>753</v>
      </c>
      <c r="G61" s="67"/>
      <c r="H61" s="67"/>
      <c r="I61" s="67"/>
      <c r="J61" s="67"/>
      <c r="K61" s="67"/>
      <c r="L61" s="67"/>
      <c r="M61" s="67"/>
      <c r="N61" s="67"/>
      <c r="O61" s="67"/>
      <c r="P61" s="67"/>
      <c r="Q61" s="67"/>
      <c r="R61" s="67"/>
      <c r="S61" s="67"/>
      <c r="T61" s="67"/>
      <c r="U61" s="67"/>
      <c r="V61" s="67"/>
      <c r="W61" s="67"/>
      <c r="X61" s="67"/>
      <c r="Y61" s="67"/>
      <c r="Z61" s="67"/>
    </row>
    <row r="62" spans="1:26" ht="15" customHeight="1">
      <c r="A62" s="67" t="s">
        <v>754</v>
      </c>
      <c r="B62" s="67" t="s">
        <v>755</v>
      </c>
      <c r="C62" s="67" t="s">
        <v>756</v>
      </c>
      <c r="D62" s="67" t="s">
        <v>757</v>
      </c>
      <c r="E62" s="67" t="s">
        <v>758</v>
      </c>
      <c r="F62" s="67" t="s">
        <v>759</v>
      </c>
      <c r="G62" s="67"/>
      <c r="H62" s="67"/>
      <c r="I62" s="67"/>
      <c r="J62" s="67"/>
      <c r="K62" s="67"/>
      <c r="L62" s="67"/>
      <c r="M62" s="67"/>
      <c r="N62" s="67"/>
      <c r="O62" s="67"/>
      <c r="P62" s="67"/>
      <c r="Q62" s="67"/>
      <c r="R62" s="67"/>
      <c r="S62" s="67"/>
      <c r="T62" s="67"/>
      <c r="U62" s="67"/>
      <c r="V62" s="67"/>
      <c r="W62" s="67"/>
      <c r="X62" s="67"/>
      <c r="Y62" s="67"/>
      <c r="Z62" s="67"/>
    </row>
    <row r="63" spans="1:26" ht="15" customHeight="1">
      <c r="A63" s="67" t="s">
        <v>760</v>
      </c>
      <c r="B63" s="67" t="s">
        <v>761</v>
      </c>
      <c r="C63" s="67" t="s">
        <v>762</v>
      </c>
      <c r="D63" s="67" t="s">
        <v>763</v>
      </c>
      <c r="E63" s="67" t="s">
        <v>764</v>
      </c>
      <c r="F63" s="67" t="s">
        <v>765</v>
      </c>
      <c r="G63" s="67"/>
      <c r="H63" s="67"/>
      <c r="I63" s="67"/>
      <c r="J63" s="67"/>
      <c r="K63" s="67"/>
      <c r="L63" s="67"/>
      <c r="M63" s="67"/>
      <c r="N63" s="67"/>
      <c r="O63" s="67"/>
      <c r="P63" s="67"/>
      <c r="Q63" s="67"/>
      <c r="R63" s="67"/>
      <c r="S63" s="67"/>
      <c r="T63" s="67"/>
      <c r="U63" s="67"/>
      <c r="V63" s="67"/>
      <c r="W63" s="67"/>
      <c r="X63" s="67"/>
      <c r="Y63" s="67"/>
      <c r="Z63" s="67"/>
    </row>
    <row r="64" spans="1:26" ht="15" customHeight="1">
      <c r="A64" s="67" t="s">
        <v>766</v>
      </c>
      <c r="B64" s="67" t="s">
        <v>767</v>
      </c>
      <c r="C64" s="67" t="s">
        <v>768</v>
      </c>
      <c r="D64" s="67" t="s">
        <v>769</v>
      </c>
      <c r="E64" s="67" t="s">
        <v>770</v>
      </c>
      <c r="F64" s="67" t="s">
        <v>771</v>
      </c>
      <c r="G64" s="67"/>
      <c r="H64" s="67"/>
      <c r="I64" s="67"/>
      <c r="J64" s="67"/>
      <c r="K64" s="67"/>
      <c r="L64" s="67"/>
      <c r="M64" s="67"/>
      <c r="N64" s="67"/>
      <c r="O64" s="67"/>
      <c r="P64" s="67"/>
      <c r="Q64" s="67"/>
      <c r="R64" s="67"/>
      <c r="S64" s="67"/>
      <c r="T64" s="67"/>
      <c r="U64" s="67"/>
      <c r="V64" s="67"/>
      <c r="W64" s="67"/>
      <c r="X64" s="67"/>
      <c r="Y64" s="67"/>
      <c r="Z64" s="67"/>
    </row>
    <row r="65" spans="1:26" ht="15" customHeight="1">
      <c r="A65" s="67" t="s">
        <v>772</v>
      </c>
      <c r="B65" s="67" t="s">
        <v>773</v>
      </c>
      <c r="C65" s="67" t="s">
        <v>774</v>
      </c>
      <c r="D65" s="67" t="s">
        <v>775</v>
      </c>
      <c r="E65" s="67" t="s">
        <v>776</v>
      </c>
      <c r="F65" s="67" t="s">
        <v>777</v>
      </c>
      <c r="G65" s="67"/>
      <c r="H65" s="67"/>
      <c r="I65" s="67"/>
      <c r="J65" s="67"/>
      <c r="K65" s="67"/>
      <c r="L65" s="67"/>
      <c r="M65" s="67"/>
      <c r="N65" s="67"/>
      <c r="O65" s="67"/>
      <c r="P65" s="67"/>
      <c r="Q65" s="67"/>
      <c r="R65" s="67"/>
      <c r="S65" s="67"/>
      <c r="T65" s="67"/>
      <c r="U65" s="67"/>
      <c r="V65" s="67"/>
      <c r="W65" s="67"/>
      <c r="X65" s="67"/>
      <c r="Y65" s="67"/>
      <c r="Z65" s="67"/>
    </row>
    <row r="66" spans="1:26" ht="15" customHeight="1">
      <c r="A66" s="67" t="s">
        <v>778</v>
      </c>
      <c r="B66" s="67" t="s">
        <v>779</v>
      </c>
      <c r="C66" s="67" t="s">
        <v>780</v>
      </c>
      <c r="D66" s="67" t="s">
        <v>781</v>
      </c>
      <c r="E66" s="67" t="s">
        <v>782</v>
      </c>
      <c r="F66" s="67" t="s">
        <v>783</v>
      </c>
      <c r="G66" s="67"/>
      <c r="H66" s="67"/>
      <c r="I66" s="67"/>
      <c r="J66" s="67"/>
      <c r="K66" s="67"/>
      <c r="L66" s="67"/>
      <c r="M66" s="67"/>
      <c r="N66" s="67"/>
      <c r="O66" s="67"/>
      <c r="P66" s="67"/>
      <c r="Q66" s="67"/>
      <c r="R66" s="67"/>
      <c r="S66" s="67"/>
      <c r="T66" s="67"/>
      <c r="U66" s="67"/>
      <c r="V66" s="67"/>
      <c r="W66" s="67"/>
      <c r="X66" s="67"/>
      <c r="Y66" s="67"/>
      <c r="Z66" s="67"/>
    </row>
    <row r="67" spans="1:26" ht="15" customHeight="1">
      <c r="A67" s="67" t="s">
        <v>784</v>
      </c>
      <c r="B67" s="67" t="s">
        <v>785</v>
      </c>
      <c r="C67" s="67" t="s">
        <v>786</v>
      </c>
      <c r="D67" s="67" t="s">
        <v>787</v>
      </c>
      <c r="E67" s="67" t="s">
        <v>788</v>
      </c>
      <c r="F67" s="67" t="s">
        <v>789</v>
      </c>
      <c r="G67" s="67"/>
      <c r="H67" s="67"/>
      <c r="I67" s="67"/>
      <c r="J67" s="67"/>
      <c r="K67" s="67"/>
      <c r="L67" s="67"/>
      <c r="M67" s="67"/>
      <c r="N67" s="67"/>
      <c r="O67" s="67"/>
      <c r="P67" s="67"/>
      <c r="Q67" s="67"/>
      <c r="R67" s="67"/>
      <c r="S67" s="67"/>
      <c r="T67" s="67"/>
      <c r="U67" s="67"/>
      <c r="V67" s="67"/>
      <c r="W67" s="67"/>
      <c r="X67" s="67"/>
      <c r="Y67" s="67"/>
      <c r="Z67" s="67"/>
    </row>
    <row r="68" spans="1:26" ht="15" customHeight="1">
      <c r="A68" s="67" t="s">
        <v>790</v>
      </c>
      <c r="B68" s="67" t="s">
        <v>791</v>
      </c>
      <c r="C68" s="67" t="s">
        <v>792</v>
      </c>
      <c r="D68" s="67" t="s">
        <v>792</v>
      </c>
      <c r="E68" s="67" t="s">
        <v>793</v>
      </c>
      <c r="F68" s="67" t="s">
        <v>792</v>
      </c>
      <c r="G68" s="67"/>
      <c r="H68" s="67"/>
      <c r="I68" s="67"/>
      <c r="J68" s="67"/>
      <c r="K68" s="67"/>
      <c r="L68" s="67"/>
      <c r="M68" s="67"/>
      <c r="N68" s="67"/>
      <c r="O68" s="67"/>
      <c r="P68" s="67"/>
      <c r="Q68" s="67"/>
      <c r="R68" s="67"/>
      <c r="S68" s="67"/>
      <c r="T68" s="67"/>
      <c r="U68" s="67"/>
      <c r="V68" s="67"/>
      <c r="W68" s="67"/>
      <c r="X68" s="67"/>
      <c r="Y68" s="67"/>
      <c r="Z68" s="67"/>
    </row>
    <row r="69" spans="1:26" ht="15" customHeight="1">
      <c r="A69" s="67" t="s">
        <v>794</v>
      </c>
      <c r="B69" s="67" t="s">
        <v>795</v>
      </c>
      <c r="C69" s="67" t="s">
        <v>796</v>
      </c>
      <c r="D69" s="67" t="s">
        <v>797</v>
      </c>
      <c r="E69" s="67" t="s">
        <v>798</v>
      </c>
      <c r="F69" s="67" t="s">
        <v>799</v>
      </c>
      <c r="G69" s="67"/>
      <c r="H69" s="67"/>
      <c r="I69" s="67"/>
      <c r="J69" s="67"/>
      <c r="K69" s="67"/>
      <c r="L69" s="67"/>
      <c r="M69" s="67"/>
      <c r="N69" s="67"/>
      <c r="O69" s="67"/>
      <c r="P69" s="67"/>
      <c r="Q69" s="67"/>
      <c r="R69" s="67"/>
      <c r="S69" s="67"/>
      <c r="T69" s="67"/>
      <c r="U69" s="67"/>
      <c r="V69" s="67"/>
      <c r="W69" s="67"/>
      <c r="X69" s="67"/>
      <c r="Y69" s="67"/>
      <c r="Z69" s="67"/>
    </row>
    <row r="70" spans="1:26" ht="15" customHeight="1">
      <c r="A70" s="67" t="s">
        <v>800</v>
      </c>
      <c r="B70" s="67" t="s">
        <v>801</v>
      </c>
      <c r="C70" s="67" t="s">
        <v>802</v>
      </c>
      <c r="D70" s="67" t="s">
        <v>803</v>
      </c>
      <c r="E70" s="67" t="s">
        <v>804</v>
      </c>
      <c r="F70" s="67" t="s">
        <v>805</v>
      </c>
      <c r="G70" s="67"/>
      <c r="H70" s="67"/>
      <c r="I70" s="67"/>
      <c r="J70" s="67"/>
      <c r="K70" s="67"/>
      <c r="L70" s="67"/>
      <c r="M70" s="67"/>
      <c r="N70" s="67"/>
      <c r="O70" s="67"/>
      <c r="P70" s="67"/>
      <c r="Q70" s="67"/>
      <c r="R70" s="67"/>
      <c r="S70" s="67"/>
      <c r="T70" s="67"/>
      <c r="U70" s="67"/>
      <c r="V70" s="67"/>
      <c r="W70" s="67"/>
      <c r="X70" s="67"/>
      <c r="Y70" s="67"/>
      <c r="Z70" s="67"/>
    </row>
    <row r="71" spans="1:26" ht="15" customHeight="1">
      <c r="A71" s="67" t="s">
        <v>806</v>
      </c>
      <c r="B71" s="67" t="s">
        <v>807</v>
      </c>
      <c r="C71" s="67" t="s">
        <v>808</v>
      </c>
      <c r="D71" s="67" t="s">
        <v>809</v>
      </c>
      <c r="E71" s="67" t="s">
        <v>810</v>
      </c>
      <c r="F71" s="67" t="s">
        <v>811</v>
      </c>
      <c r="G71" s="67"/>
      <c r="H71" s="67"/>
      <c r="I71" s="67"/>
      <c r="J71" s="67"/>
      <c r="K71" s="67"/>
      <c r="L71" s="67"/>
      <c r="M71" s="67"/>
      <c r="N71" s="67"/>
      <c r="O71" s="67"/>
      <c r="P71" s="67"/>
      <c r="Q71" s="67"/>
      <c r="R71" s="67"/>
      <c r="S71" s="67"/>
      <c r="T71" s="67"/>
      <c r="U71" s="67"/>
      <c r="V71" s="67"/>
      <c r="W71" s="67"/>
      <c r="X71" s="67"/>
      <c r="Y71" s="67"/>
      <c r="Z71" s="67"/>
    </row>
    <row r="72" spans="1:26" ht="15" customHeight="1">
      <c r="A72" s="67" t="s">
        <v>812</v>
      </c>
      <c r="B72" s="67" t="s">
        <v>813</v>
      </c>
      <c r="C72" s="67" t="s">
        <v>814</v>
      </c>
      <c r="D72" s="67" t="s">
        <v>815</v>
      </c>
      <c r="E72" s="67" t="s">
        <v>816</v>
      </c>
      <c r="F72" s="67" t="s">
        <v>817</v>
      </c>
      <c r="G72" s="67"/>
      <c r="H72" s="67"/>
      <c r="I72" s="67"/>
      <c r="J72" s="67"/>
      <c r="K72" s="67"/>
      <c r="L72" s="67"/>
      <c r="M72" s="67"/>
      <c r="N72" s="67"/>
      <c r="O72" s="67"/>
      <c r="P72" s="67"/>
      <c r="Q72" s="67"/>
      <c r="R72" s="67"/>
      <c r="S72" s="67"/>
      <c r="T72" s="67"/>
      <c r="U72" s="67"/>
      <c r="V72" s="67"/>
      <c r="W72" s="67"/>
      <c r="X72" s="67"/>
      <c r="Y72" s="67"/>
      <c r="Z72" s="67"/>
    </row>
    <row r="73" spans="1:26" ht="15" customHeight="1">
      <c r="A73" s="67" t="s">
        <v>818</v>
      </c>
      <c r="B73" s="67" t="s">
        <v>819</v>
      </c>
      <c r="C73" s="67" t="s">
        <v>820</v>
      </c>
      <c r="D73" s="67" t="s">
        <v>821</v>
      </c>
      <c r="E73" s="67" t="s">
        <v>822</v>
      </c>
      <c r="F73" s="67" t="s">
        <v>823</v>
      </c>
      <c r="G73" s="67"/>
      <c r="H73" s="67"/>
      <c r="I73" s="67"/>
      <c r="J73" s="67"/>
      <c r="K73" s="67"/>
      <c r="L73" s="67"/>
      <c r="M73" s="67"/>
      <c r="N73" s="67"/>
      <c r="O73" s="67"/>
      <c r="P73" s="67"/>
      <c r="Q73" s="67"/>
      <c r="R73" s="67"/>
      <c r="S73" s="67"/>
      <c r="T73" s="67"/>
      <c r="U73" s="67"/>
      <c r="V73" s="67"/>
      <c r="W73" s="67"/>
      <c r="X73" s="67"/>
      <c r="Y73" s="67"/>
      <c r="Z73" s="67"/>
    </row>
    <row r="74" spans="1:26" ht="15" customHeight="1">
      <c r="A74" s="67" t="s">
        <v>824</v>
      </c>
      <c r="B74" s="67" t="s">
        <v>825</v>
      </c>
      <c r="C74" s="67" t="s">
        <v>826</v>
      </c>
      <c r="D74" s="67" t="s">
        <v>827</v>
      </c>
      <c r="E74" s="67" t="s">
        <v>828</v>
      </c>
      <c r="F74" s="67" t="s">
        <v>829</v>
      </c>
      <c r="G74" s="67"/>
      <c r="H74" s="67"/>
      <c r="I74" s="67"/>
      <c r="J74" s="67"/>
      <c r="K74" s="67"/>
      <c r="L74" s="67"/>
      <c r="M74" s="67"/>
      <c r="N74" s="67"/>
      <c r="O74" s="67"/>
      <c r="P74" s="67"/>
      <c r="Q74" s="67"/>
      <c r="R74" s="67"/>
      <c r="S74" s="67"/>
      <c r="T74" s="67"/>
      <c r="U74" s="67"/>
      <c r="V74" s="67"/>
      <c r="W74" s="67"/>
      <c r="X74" s="67"/>
      <c r="Y74" s="67"/>
      <c r="Z74" s="67"/>
    </row>
    <row r="75" spans="1:26" ht="15" customHeight="1">
      <c r="A75" s="67" t="s">
        <v>830</v>
      </c>
      <c r="B75" s="67" t="s">
        <v>831</v>
      </c>
      <c r="C75" s="67" t="s">
        <v>832</v>
      </c>
      <c r="D75" s="67" t="s">
        <v>833</v>
      </c>
      <c r="E75" s="67" t="s">
        <v>834</v>
      </c>
      <c r="F75" s="67" t="s">
        <v>835</v>
      </c>
      <c r="G75" s="67"/>
      <c r="H75" s="67"/>
      <c r="I75" s="67"/>
      <c r="J75" s="67"/>
      <c r="K75" s="67"/>
      <c r="L75" s="67"/>
      <c r="M75" s="67"/>
      <c r="N75" s="67"/>
      <c r="O75" s="67"/>
      <c r="P75" s="67"/>
      <c r="Q75" s="67"/>
      <c r="R75" s="67"/>
      <c r="S75" s="67"/>
      <c r="T75" s="67"/>
      <c r="U75" s="67"/>
      <c r="V75" s="67"/>
      <c r="W75" s="67"/>
      <c r="X75" s="67"/>
      <c r="Y75" s="67"/>
      <c r="Z75" s="67"/>
    </row>
    <row r="76" spans="1:26" ht="15" customHeight="1">
      <c r="A76" s="67" t="s">
        <v>836</v>
      </c>
      <c r="B76" s="67" t="s">
        <v>837</v>
      </c>
      <c r="C76" s="67" t="s">
        <v>838</v>
      </c>
      <c r="D76" s="67" t="s">
        <v>839</v>
      </c>
      <c r="E76" s="67" t="s">
        <v>840</v>
      </c>
      <c r="F76" s="67" t="s">
        <v>838</v>
      </c>
      <c r="G76" s="67"/>
      <c r="H76" s="67"/>
      <c r="I76" s="67"/>
      <c r="J76" s="67"/>
      <c r="K76" s="67"/>
      <c r="L76" s="67"/>
      <c r="M76" s="67"/>
      <c r="N76" s="67"/>
      <c r="O76" s="67"/>
      <c r="P76" s="67"/>
      <c r="Q76" s="67"/>
      <c r="R76" s="67"/>
      <c r="S76" s="67"/>
      <c r="T76" s="67"/>
      <c r="U76" s="67"/>
      <c r="V76" s="67"/>
      <c r="W76" s="67"/>
      <c r="X76" s="67"/>
      <c r="Y76" s="67"/>
      <c r="Z76" s="67"/>
    </row>
    <row r="77" spans="1:26" ht="15" customHeight="1">
      <c r="A77" s="67" t="s">
        <v>841</v>
      </c>
      <c r="B77" s="67" t="s">
        <v>842</v>
      </c>
      <c r="C77" s="67" t="s">
        <v>842</v>
      </c>
      <c r="D77" s="67" t="s">
        <v>842</v>
      </c>
      <c r="E77" s="67" t="s">
        <v>842</v>
      </c>
      <c r="F77" s="67" t="s">
        <v>842</v>
      </c>
      <c r="G77" s="67"/>
      <c r="H77" s="67"/>
      <c r="I77" s="67"/>
      <c r="J77" s="67"/>
      <c r="K77" s="67"/>
      <c r="L77" s="67"/>
      <c r="M77" s="67"/>
      <c r="N77" s="67"/>
      <c r="O77" s="67"/>
      <c r="P77" s="67"/>
      <c r="Q77" s="67"/>
      <c r="R77" s="67"/>
      <c r="S77" s="67"/>
      <c r="T77" s="67"/>
      <c r="U77" s="67"/>
      <c r="V77" s="67"/>
      <c r="W77" s="67"/>
      <c r="X77" s="67"/>
      <c r="Y77" s="67"/>
      <c r="Z77" s="67"/>
    </row>
    <row r="78" spans="1:26" ht="15" customHeight="1">
      <c r="A78" s="67" t="s">
        <v>843</v>
      </c>
      <c r="B78" s="67" t="s">
        <v>844</v>
      </c>
      <c r="C78" s="67" t="s">
        <v>845</v>
      </c>
      <c r="D78" s="67" t="s">
        <v>846</v>
      </c>
      <c r="E78" s="67" t="s">
        <v>847</v>
      </c>
      <c r="F78" s="67" t="s">
        <v>848</v>
      </c>
      <c r="G78" s="67"/>
      <c r="H78" s="67"/>
      <c r="I78" s="67"/>
      <c r="J78" s="67"/>
      <c r="K78" s="67"/>
      <c r="L78" s="67"/>
      <c r="M78" s="67"/>
      <c r="N78" s="67"/>
      <c r="O78" s="67"/>
      <c r="P78" s="67"/>
      <c r="Q78" s="67"/>
      <c r="R78" s="67"/>
      <c r="S78" s="67"/>
      <c r="T78" s="67"/>
      <c r="U78" s="67"/>
      <c r="V78" s="67"/>
      <c r="W78" s="67"/>
      <c r="X78" s="67"/>
      <c r="Y78" s="67"/>
      <c r="Z78" s="67"/>
    </row>
    <row r="79" spans="1:26" ht="15" customHeight="1">
      <c r="A79" s="67" t="s">
        <v>849</v>
      </c>
      <c r="B79" s="67" t="s">
        <v>850</v>
      </c>
      <c r="C79" s="67" t="s">
        <v>851</v>
      </c>
      <c r="D79" s="67" t="s">
        <v>852</v>
      </c>
      <c r="E79" s="67" t="s">
        <v>853</v>
      </c>
      <c r="F79" s="67" t="s">
        <v>851</v>
      </c>
      <c r="G79" s="67"/>
      <c r="H79" s="67"/>
      <c r="I79" s="67"/>
      <c r="J79" s="67"/>
      <c r="K79" s="67"/>
      <c r="L79" s="67"/>
      <c r="M79" s="67"/>
      <c r="N79" s="67"/>
      <c r="O79" s="67"/>
      <c r="P79" s="67"/>
      <c r="Q79" s="67"/>
      <c r="R79" s="67"/>
      <c r="S79" s="67"/>
      <c r="T79" s="67"/>
      <c r="U79" s="67"/>
      <c r="V79" s="67"/>
      <c r="W79" s="67"/>
      <c r="X79" s="67"/>
      <c r="Y79" s="67"/>
      <c r="Z79" s="67"/>
    </row>
    <row r="80" spans="1:26" ht="15" customHeight="1">
      <c r="A80" s="67" t="s">
        <v>854</v>
      </c>
      <c r="B80" s="67" t="s">
        <v>855</v>
      </c>
      <c r="C80" s="67" t="s">
        <v>856</v>
      </c>
      <c r="D80" s="67" t="s">
        <v>857</v>
      </c>
      <c r="E80" s="67" t="s">
        <v>858</v>
      </c>
      <c r="F80" s="67" t="s">
        <v>859</v>
      </c>
      <c r="G80" s="67"/>
      <c r="H80" s="67"/>
      <c r="I80" s="67"/>
      <c r="J80" s="67"/>
      <c r="K80" s="67"/>
      <c r="L80" s="67"/>
      <c r="M80" s="67"/>
      <c r="N80" s="67"/>
      <c r="O80" s="67"/>
      <c r="P80" s="67"/>
      <c r="Q80" s="67"/>
      <c r="R80" s="67"/>
      <c r="S80" s="67"/>
      <c r="T80" s="67"/>
      <c r="U80" s="67"/>
      <c r="V80" s="67"/>
      <c r="W80" s="67"/>
      <c r="X80" s="67"/>
      <c r="Y80" s="67"/>
      <c r="Z80" s="67"/>
    </row>
    <row r="81" spans="1:26" ht="15" customHeight="1">
      <c r="A81" s="67" t="s">
        <v>860</v>
      </c>
      <c r="B81" s="67" t="s">
        <v>855</v>
      </c>
      <c r="C81" s="67" t="s">
        <v>856</v>
      </c>
      <c r="D81" s="67" t="s">
        <v>857</v>
      </c>
      <c r="E81" s="67" t="s">
        <v>855</v>
      </c>
      <c r="F81" s="67" t="s">
        <v>861</v>
      </c>
      <c r="G81" s="67"/>
      <c r="H81" s="67"/>
      <c r="I81" s="67"/>
      <c r="J81" s="67"/>
      <c r="K81" s="67"/>
      <c r="L81" s="67"/>
      <c r="M81" s="67"/>
      <c r="N81" s="67"/>
      <c r="O81" s="67"/>
      <c r="P81" s="67"/>
      <c r="Q81" s="67"/>
      <c r="R81" s="67"/>
      <c r="S81" s="67"/>
      <c r="T81" s="67"/>
      <c r="U81" s="67"/>
      <c r="V81" s="67"/>
      <c r="W81" s="67"/>
      <c r="X81" s="67"/>
      <c r="Y81" s="67"/>
      <c r="Z81" s="67"/>
    </row>
    <row r="82" spans="1:26" ht="15" customHeight="1">
      <c r="A82" s="67" t="s">
        <v>862</v>
      </c>
      <c r="B82" s="67" t="s">
        <v>863</v>
      </c>
      <c r="C82" s="67" t="s">
        <v>864</v>
      </c>
      <c r="D82" s="67" t="s">
        <v>865</v>
      </c>
      <c r="E82" s="67" t="s">
        <v>866</v>
      </c>
      <c r="F82" s="67" t="s">
        <v>101</v>
      </c>
      <c r="G82" s="67"/>
      <c r="H82" s="67"/>
      <c r="I82" s="67"/>
      <c r="J82" s="67"/>
      <c r="K82" s="67"/>
      <c r="L82" s="67"/>
      <c r="M82" s="67"/>
      <c r="N82" s="67"/>
      <c r="O82" s="67"/>
      <c r="P82" s="67"/>
      <c r="Q82" s="67"/>
      <c r="R82" s="67"/>
      <c r="S82" s="67"/>
      <c r="T82" s="67"/>
      <c r="U82" s="67"/>
      <c r="V82" s="67"/>
      <c r="W82" s="67"/>
      <c r="X82" s="67"/>
      <c r="Y82" s="67"/>
      <c r="Z82" s="67"/>
    </row>
    <row r="83" spans="1:26" ht="15" customHeight="1">
      <c r="A83" s="67" t="s">
        <v>867</v>
      </c>
      <c r="B83" s="67" t="s">
        <v>863</v>
      </c>
      <c r="C83" s="67" t="s">
        <v>864</v>
      </c>
      <c r="D83" s="67" t="s">
        <v>101</v>
      </c>
      <c r="E83" s="67" t="s">
        <v>866</v>
      </c>
      <c r="F83" s="67" t="s">
        <v>101</v>
      </c>
      <c r="G83" s="67"/>
      <c r="H83" s="67"/>
      <c r="I83" s="67"/>
      <c r="J83" s="67"/>
      <c r="K83" s="67"/>
      <c r="L83" s="67"/>
      <c r="M83" s="67"/>
      <c r="N83" s="67"/>
      <c r="O83" s="67"/>
      <c r="P83" s="67"/>
      <c r="Q83" s="67"/>
      <c r="R83" s="67"/>
      <c r="S83" s="67"/>
      <c r="T83" s="67"/>
      <c r="U83" s="67"/>
      <c r="V83" s="67"/>
      <c r="W83" s="67"/>
      <c r="X83" s="67"/>
      <c r="Y83" s="67"/>
      <c r="Z83" s="67"/>
    </row>
    <row r="84" spans="1:26" ht="15" customHeight="1">
      <c r="A84" s="67" t="s">
        <v>868</v>
      </c>
      <c r="B84" s="67" t="s">
        <v>869</v>
      </c>
      <c r="C84" s="67" t="s">
        <v>98</v>
      </c>
      <c r="D84" s="67" t="s">
        <v>870</v>
      </c>
      <c r="E84" s="67" t="s">
        <v>871</v>
      </c>
      <c r="F84" s="67" t="s">
        <v>870</v>
      </c>
      <c r="G84" s="67"/>
      <c r="H84" s="67"/>
      <c r="I84" s="67"/>
      <c r="J84" s="67"/>
      <c r="K84" s="67"/>
      <c r="L84" s="67"/>
      <c r="M84" s="67"/>
      <c r="N84" s="67"/>
      <c r="O84" s="67"/>
      <c r="P84" s="67"/>
      <c r="Q84" s="67"/>
      <c r="R84" s="67"/>
      <c r="S84" s="67"/>
      <c r="T84" s="67"/>
      <c r="U84" s="67"/>
      <c r="V84" s="67"/>
      <c r="W84" s="67"/>
      <c r="X84" s="67"/>
      <c r="Y84" s="67"/>
      <c r="Z84" s="67"/>
    </row>
    <row r="85" spans="1:26" ht="15" customHeight="1">
      <c r="A85" s="67" t="s">
        <v>872</v>
      </c>
      <c r="B85" s="67" t="s">
        <v>95</v>
      </c>
      <c r="C85" s="67" t="s">
        <v>96</v>
      </c>
      <c r="D85" s="67" t="s">
        <v>873</v>
      </c>
      <c r="E85" s="67" t="s">
        <v>874</v>
      </c>
      <c r="F85" s="67" t="s">
        <v>96</v>
      </c>
      <c r="G85" s="67"/>
      <c r="H85" s="67"/>
      <c r="I85" s="67"/>
      <c r="J85" s="67"/>
      <c r="K85" s="67"/>
      <c r="L85" s="67"/>
      <c r="M85" s="67"/>
      <c r="N85" s="67"/>
      <c r="O85" s="67"/>
      <c r="P85" s="67"/>
      <c r="Q85" s="67"/>
      <c r="R85" s="67"/>
      <c r="S85" s="67"/>
      <c r="T85" s="67"/>
      <c r="U85" s="67"/>
      <c r="V85" s="67"/>
      <c r="W85" s="67"/>
      <c r="X85" s="67"/>
      <c r="Y85" s="67"/>
      <c r="Z85" s="67"/>
    </row>
    <row r="86" spans="1:26" ht="15" customHeight="1">
      <c r="A86" s="67" t="s">
        <v>875</v>
      </c>
      <c r="B86" s="67" t="s">
        <v>103</v>
      </c>
      <c r="C86" s="67" t="s">
        <v>863</v>
      </c>
      <c r="D86" s="67" t="s">
        <v>95</v>
      </c>
      <c r="E86" s="67" t="s">
        <v>873</v>
      </c>
      <c r="F86" s="67" t="s">
        <v>95</v>
      </c>
      <c r="G86" s="67"/>
      <c r="H86" s="67"/>
      <c r="I86" s="67"/>
      <c r="J86" s="67"/>
      <c r="K86" s="67"/>
      <c r="L86" s="67"/>
      <c r="M86" s="67"/>
      <c r="N86" s="67"/>
      <c r="O86" s="67"/>
      <c r="P86" s="67"/>
      <c r="Q86" s="67"/>
      <c r="R86" s="67"/>
      <c r="S86" s="67"/>
      <c r="T86" s="67"/>
      <c r="U86" s="67"/>
      <c r="V86" s="67"/>
      <c r="W86" s="67"/>
      <c r="X86" s="67"/>
      <c r="Y86" s="67"/>
      <c r="Z86" s="67"/>
    </row>
    <row r="87" spans="1:26" ht="15" customHeight="1">
      <c r="A87" s="67" t="s">
        <v>876</v>
      </c>
      <c r="B87" s="67" t="s">
        <v>39</v>
      </c>
      <c r="C87" s="67" t="s">
        <v>39</v>
      </c>
      <c r="D87" s="67" t="s">
        <v>877</v>
      </c>
      <c r="E87" s="67" t="s">
        <v>878</v>
      </c>
      <c r="F87" s="67" t="s">
        <v>879</v>
      </c>
      <c r="G87" s="67"/>
      <c r="H87" s="67"/>
      <c r="I87" s="67"/>
      <c r="J87" s="67"/>
      <c r="K87" s="67"/>
      <c r="L87" s="67"/>
      <c r="M87" s="67"/>
      <c r="N87" s="67"/>
      <c r="O87" s="67"/>
      <c r="P87" s="67"/>
      <c r="Q87" s="67"/>
      <c r="R87" s="67"/>
      <c r="S87" s="67"/>
      <c r="T87" s="67"/>
      <c r="U87" s="67"/>
      <c r="V87" s="67"/>
      <c r="W87" s="67"/>
      <c r="X87" s="67"/>
      <c r="Y87" s="67"/>
      <c r="Z87" s="67"/>
    </row>
    <row r="88" spans="1:26" ht="15" customHeight="1">
      <c r="A88" s="67" t="s">
        <v>880</v>
      </c>
      <c r="B88" s="67" t="s">
        <v>7</v>
      </c>
      <c r="C88" s="67" t="s">
        <v>25</v>
      </c>
      <c r="D88" s="67" t="s">
        <v>881</v>
      </c>
      <c r="E88" s="67" t="s">
        <v>882</v>
      </c>
      <c r="F88" s="67" t="s">
        <v>25</v>
      </c>
      <c r="G88" s="67"/>
      <c r="H88" s="67"/>
      <c r="I88" s="67"/>
      <c r="J88" s="67"/>
      <c r="K88" s="67"/>
      <c r="L88" s="67"/>
      <c r="M88" s="67"/>
      <c r="N88" s="67"/>
      <c r="O88" s="67"/>
      <c r="P88" s="67"/>
      <c r="Q88" s="67"/>
      <c r="R88" s="67"/>
      <c r="S88" s="67"/>
      <c r="T88" s="67"/>
      <c r="U88" s="67"/>
      <c r="V88" s="67"/>
      <c r="W88" s="67"/>
      <c r="X88" s="67"/>
      <c r="Y88" s="67"/>
      <c r="Z88" s="67"/>
    </row>
    <row r="89" spans="1:26" ht="15" customHeight="1">
      <c r="A89" s="67" t="s">
        <v>883</v>
      </c>
      <c r="B89" s="67" t="s">
        <v>18</v>
      </c>
      <c r="C89" s="67" t="s">
        <v>884</v>
      </c>
      <c r="D89" s="67" t="s">
        <v>885</v>
      </c>
      <c r="E89" s="67" t="s">
        <v>886</v>
      </c>
      <c r="F89" s="67" t="s">
        <v>887</v>
      </c>
      <c r="G89" s="67"/>
      <c r="H89" s="67"/>
      <c r="I89" s="67"/>
      <c r="J89" s="67"/>
      <c r="K89" s="67"/>
      <c r="L89" s="67"/>
      <c r="M89" s="67"/>
      <c r="N89" s="67"/>
      <c r="O89" s="67"/>
      <c r="P89" s="67"/>
      <c r="Q89" s="67"/>
      <c r="R89" s="67"/>
      <c r="S89" s="67"/>
      <c r="T89" s="67"/>
      <c r="U89" s="67"/>
      <c r="V89" s="67"/>
      <c r="W89" s="67"/>
      <c r="X89" s="67"/>
      <c r="Y89" s="67"/>
      <c r="Z89" s="67"/>
    </row>
    <row r="90" spans="1:26" ht="15" customHeight="1">
      <c r="A90" s="67" t="s">
        <v>888</v>
      </c>
      <c r="B90" s="67" t="s">
        <v>889</v>
      </c>
      <c r="C90" s="67" t="s">
        <v>889</v>
      </c>
      <c r="D90" s="67" t="s">
        <v>889</v>
      </c>
      <c r="E90" s="67" t="s">
        <v>890</v>
      </c>
      <c r="F90" s="67" t="s">
        <v>889</v>
      </c>
      <c r="G90" s="67"/>
      <c r="H90" s="67"/>
      <c r="I90" s="67"/>
      <c r="J90" s="67"/>
      <c r="K90" s="67"/>
      <c r="L90" s="67"/>
      <c r="M90" s="67"/>
      <c r="N90" s="67"/>
      <c r="O90" s="67"/>
      <c r="P90" s="67"/>
      <c r="Q90" s="67"/>
      <c r="R90" s="67"/>
      <c r="S90" s="67"/>
      <c r="T90" s="67"/>
      <c r="U90" s="67"/>
      <c r="V90" s="67"/>
      <c r="W90" s="67"/>
      <c r="X90" s="67"/>
      <c r="Y90" s="67"/>
      <c r="Z90" s="67"/>
    </row>
    <row r="91" spans="1:26" ht="15" customHeight="1">
      <c r="A91" s="67" t="s">
        <v>891</v>
      </c>
      <c r="B91" s="67" t="s">
        <v>892</v>
      </c>
      <c r="C91" s="67" t="s">
        <v>893</v>
      </c>
      <c r="D91" s="67" t="s">
        <v>894</v>
      </c>
      <c r="E91" s="67" t="s">
        <v>895</v>
      </c>
      <c r="F91" s="67" t="s">
        <v>896</v>
      </c>
      <c r="G91" s="67"/>
      <c r="H91" s="67"/>
      <c r="I91" s="67"/>
      <c r="J91" s="67"/>
      <c r="K91" s="67"/>
      <c r="L91" s="67"/>
      <c r="M91" s="67"/>
      <c r="N91" s="67"/>
      <c r="O91" s="67"/>
      <c r="P91" s="67"/>
      <c r="Q91" s="67"/>
      <c r="R91" s="67"/>
      <c r="S91" s="67"/>
      <c r="T91" s="67"/>
      <c r="U91" s="67"/>
      <c r="V91" s="67"/>
      <c r="W91" s="67"/>
      <c r="X91" s="67"/>
      <c r="Y91" s="67"/>
      <c r="Z91" s="67"/>
    </row>
    <row r="92" spans="1:26" ht="15" customHeight="1">
      <c r="A92" s="67" t="s">
        <v>897</v>
      </c>
      <c r="B92" s="67" t="s">
        <v>898</v>
      </c>
      <c r="C92" s="67" t="s">
        <v>899</v>
      </c>
      <c r="D92" s="67" t="s">
        <v>900</v>
      </c>
      <c r="E92" s="67" t="s">
        <v>901</v>
      </c>
      <c r="F92" s="67" t="s">
        <v>902</v>
      </c>
      <c r="G92" s="67"/>
      <c r="H92" s="67"/>
      <c r="I92" s="67"/>
      <c r="J92" s="67"/>
      <c r="K92" s="67"/>
      <c r="L92" s="67"/>
      <c r="M92" s="67"/>
      <c r="N92" s="67"/>
      <c r="O92" s="67"/>
      <c r="P92" s="67"/>
      <c r="Q92" s="67"/>
      <c r="R92" s="67"/>
      <c r="S92" s="67"/>
      <c r="T92" s="67"/>
      <c r="U92" s="67"/>
      <c r="V92" s="67"/>
      <c r="W92" s="67"/>
      <c r="X92" s="67"/>
      <c r="Y92" s="67"/>
      <c r="Z92" s="67"/>
    </row>
    <row r="93" spans="1:26" ht="15" customHeight="1">
      <c r="A93" s="67" t="s">
        <v>903</v>
      </c>
      <c r="B93" s="67" t="s">
        <v>904</v>
      </c>
      <c r="C93" s="67" t="s">
        <v>904</v>
      </c>
      <c r="D93" s="67" t="s">
        <v>904</v>
      </c>
      <c r="E93" s="67" t="s">
        <v>904</v>
      </c>
      <c r="F93" s="67" t="s">
        <v>904</v>
      </c>
      <c r="G93" s="67"/>
      <c r="H93" s="67"/>
      <c r="I93" s="67"/>
      <c r="J93" s="67"/>
      <c r="K93" s="67"/>
      <c r="L93" s="67"/>
      <c r="M93" s="67"/>
      <c r="N93" s="67"/>
      <c r="O93" s="67"/>
      <c r="P93" s="67"/>
      <c r="Q93" s="67"/>
      <c r="R93" s="67"/>
      <c r="S93" s="67"/>
      <c r="T93" s="67"/>
      <c r="U93" s="67"/>
      <c r="V93" s="67"/>
      <c r="W93" s="67"/>
      <c r="X93" s="67"/>
      <c r="Y93" s="67"/>
      <c r="Z93" s="67"/>
    </row>
    <row r="94" spans="1:26" ht="15" customHeight="1">
      <c r="A94" s="67" t="s">
        <v>905</v>
      </c>
      <c r="B94" s="67" t="s">
        <v>906</v>
      </c>
      <c r="C94" s="67" t="s">
        <v>907</v>
      </c>
      <c r="D94" s="67" t="s">
        <v>908</v>
      </c>
      <c r="E94" s="67" t="s">
        <v>909</v>
      </c>
      <c r="F94" s="67" t="s">
        <v>910</v>
      </c>
      <c r="G94" s="67"/>
      <c r="H94" s="67"/>
      <c r="I94" s="67"/>
      <c r="J94" s="67"/>
      <c r="K94" s="67"/>
      <c r="L94" s="67"/>
      <c r="M94" s="67"/>
      <c r="N94" s="67"/>
      <c r="O94" s="67"/>
      <c r="P94" s="67"/>
      <c r="Q94" s="67"/>
      <c r="R94" s="67"/>
      <c r="S94" s="67"/>
      <c r="T94" s="67"/>
      <c r="U94" s="67"/>
      <c r="V94" s="67"/>
      <c r="W94" s="67"/>
      <c r="X94" s="67"/>
      <c r="Y94" s="67"/>
      <c r="Z94" s="67"/>
    </row>
    <row r="95" spans="1:26" ht="15" customHeight="1">
      <c r="A95" s="67" t="s">
        <v>911</v>
      </c>
      <c r="B95" s="67" t="s">
        <v>912</v>
      </c>
      <c r="C95" s="67" t="s">
        <v>912</v>
      </c>
      <c r="D95" s="67" t="s">
        <v>913</v>
      </c>
      <c r="E95" s="67" t="s">
        <v>914</v>
      </c>
      <c r="F95" s="67" t="s">
        <v>915</v>
      </c>
      <c r="G95" s="67"/>
      <c r="H95" s="67"/>
      <c r="I95" s="67"/>
      <c r="J95" s="67"/>
      <c r="K95" s="67"/>
      <c r="L95" s="67"/>
      <c r="M95" s="67"/>
      <c r="N95" s="67"/>
      <c r="O95" s="67"/>
      <c r="P95" s="67"/>
      <c r="Q95" s="67"/>
      <c r="R95" s="67"/>
      <c r="S95" s="67"/>
      <c r="T95" s="67"/>
      <c r="U95" s="67"/>
      <c r="V95" s="67"/>
      <c r="W95" s="67"/>
      <c r="X95" s="67"/>
      <c r="Y95" s="67"/>
      <c r="Z95" s="67"/>
    </row>
    <row r="96" spans="1:26" ht="15" customHeight="1">
      <c r="A96" s="67" t="s">
        <v>916</v>
      </c>
      <c r="B96" s="67" t="s">
        <v>917</v>
      </c>
      <c r="C96" s="67" t="s">
        <v>918</v>
      </c>
      <c r="D96" s="67" t="s">
        <v>919</v>
      </c>
      <c r="E96" s="67" t="s">
        <v>920</v>
      </c>
      <c r="F96" s="67" t="s">
        <v>921</v>
      </c>
      <c r="G96" s="67"/>
      <c r="H96" s="67"/>
      <c r="I96" s="67"/>
      <c r="J96" s="67"/>
      <c r="K96" s="67"/>
      <c r="L96" s="67"/>
      <c r="M96" s="67"/>
      <c r="N96" s="67"/>
      <c r="O96" s="67"/>
      <c r="P96" s="67"/>
      <c r="Q96" s="67"/>
      <c r="R96" s="67"/>
      <c r="S96" s="67"/>
      <c r="T96" s="67"/>
      <c r="U96" s="67"/>
      <c r="V96" s="67"/>
      <c r="W96" s="67"/>
      <c r="X96" s="67"/>
      <c r="Y96" s="67"/>
      <c r="Z96" s="67"/>
    </row>
    <row r="97" spans="1:26" ht="15" customHeight="1">
      <c r="A97" s="67" t="s">
        <v>922</v>
      </c>
      <c r="B97" s="67" t="s">
        <v>923</v>
      </c>
      <c r="C97" s="67" t="s">
        <v>924</v>
      </c>
      <c r="D97" s="67" t="s">
        <v>925</v>
      </c>
      <c r="E97" s="67" t="s">
        <v>926</v>
      </c>
      <c r="F97" s="67" t="s">
        <v>927</v>
      </c>
      <c r="G97" s="67"/>
      <c r="H97" s="67"/>
      <c r="I97" s="67"/>
      <c r="J97" s="67"/>
      <c r="K97" s="67"/>
      <c r="L97" s="67"/>
      <c r="M97" s="67"/>
      <c r="N97" s="67"/>
      <c r="O97" s="67"/>
      <c r="P97" s="67"/>
      <c r="Q97" s="67"/>
      <c r="R97" s="67"/>
      <c r="S97" s="67"/>
      <c r="T97" s="67"/>
      <c r="U97" s="67"/>
      <c r="V97" s="67"/>
      <c r="W97" s="67"/>
      <c r="X97" s="67"/>
      <c r="Y97" s="67"/>
      <c r="Z97" s="67"/>
    </row>
    <row r="98" spans="1:26" ht="15" customHeight="1">
      <c r="A98" s="67" t="s">
        <v>928</v>
      </c>
      <c r="B98" s="67" t="s">
        <v>929</v>
      </c>
      <c r="C98" s="67" t="s">
        <v>930</v>
      </c>
      <c r="D98" s="67" t="s">
        <v>931</v>
      </c>
      <c r="E98" s="67" t="s">
        <v>932</v>
      </c>
      <c r="F98" s="67" t="s">
        <v>933</v>
      </c>
      <c r="G98" s="67"/>
      <c r="H98" s="67"/>
      <c r="I98" s="67"/>
      <c r="J98" s="67"/>
      <c r="K98" s="67"/>
      <c r="L98" s="67"/>
      <c r="M98" s="67"/>
      <c r="N98" s="67"/>
      <c r="O98" s="67"/>
      <c r="P98" s="67"/>
      <c r="Q98" s="67"/>
      <c r="R98" s="67"/>
      <c r="S98" s="67"/>
      <c r="T98" s="67"/>
      <c r="U98" s="67"/>
      <c r="V98" s="67"/>
      <c r="W98" s="67"/>
      <c r="X98" s="67"/>
      <c r="Y98" s="67"/>
      <c r="Z98" s="67"/>
    </row>
    <row r="99" spans="1:26" ht="15" customHeight="1">
      <c r="A99" s="67" t="s">
        <v>934</v>
      </c>
      <c r="B99" s="67" t="s">
        <v>935</v>
      </c>
      <c r="C99" s="67" t="s">
        <v>936</v>
      </c>
      <c r="D99" s="67" t="s">
        <v>937</v>
      </c>
      <c r="E99" s="67" t="s">
        <v>938</v>
      </c>
      <c r="F99" s="67" t="s">
        <v>939</v>
      </c>
      <c r="G99" s="67"/>
      <c r="H99" s="67"/>
      <c r="I99" s="67"/>
      <c r="J99" s="67"/>
      <c r="K99" s="67"/>
      <c r="L99" s="67"/>
      <c r="M99" s="67"/>
      <c r="N99" s="67"/>
      <c r="O99" s="67"/>
      <c r="P99" s="67"/>
      <c r="Q99" s="67"/>
      <c r="R99" s="67"/>
      <c r="S99" s="67"/>
      <c r="T99" s="67"/>
      <c r="U99" s="67"/>
      <c r="V99" s="67"/>
      <c r="W99" s="67"/>
      <c r="X99" s="67"/>
      <c r="Y99" s="67"/>
      <c r="Z99" s="67"/>
    </row>
    <row r="100" spans="1:26" ht="15" customHeight="1">
      <c r="A100" s="67" t="s">
        <v>940</v>
      </c>
      <c r="B100" s="67" t="s">
        <v>941</v>
      </c>
      <c r="C100" s="67" t="s">
        <v>942</v>
      </c>
      <c r="D100" s="67" t="s">
        <v>943</v>
      </c>
      <c r="E100" s="67" t="s">
        <v>944</v>
      </c>
      <c r="F100" s="67" t="s">
        <v>945</v>
      </c>
      <c r="G100" s="67"/>
      <c r="H100" s="67"/>
      <c r="I100" s="67"/>
      <c r="J100" s="67"/>
      <c r="K100" s="67"/>
      <c r="L100" s="67"/>
      <c r="M100" s="67"/>
      <c r="N100" s="67"/>
      <c r="O100" s="67"/>
      <c r="P100" s="67"/>
      <c r="Q100" s="67"/>
      <c r="R100" s="67"/>
      <c r="S100" s="67"/>
      <c r="T100" s="67"/>
      <c r="U100" s="67"/>
      <c r="V100" s="67"/>
      <c r="W100" s="67"/>
      <c r="X100" s="67"/>
      <c r="Y100" s="67"/>
      <c r="Z100" s="67"/>
    </row>
    <row r="101" spans="1:26" ht="15" customHeight="1">
      <c r="A101" s="67" t="s">
        <v>946</v>
      </c>
      <c r="B101" s="67" t="s">
        <v>947</v>
      </c>
      <c r="C101" s="67" t="s">
        <v>948</v>
      </c>
      <c r="D101" s="67" t="s">
        <v>949</v>
      </c>
      <c r="E101" s="67" t="s">
        <v>950</v>
      </c>
      <c r="F101" s="67" t="s">
        <v>951</v>
      </c>
      <c r="G101" s="67"/>
      <c r="H101" s="67"/>
      <c r="I101" s="67"/>
      <c r="J101" s="67"/>
      <c r="K101" s="67"/>
      <c r="L101" s="67"/>
      <c r="M101" s="67"/>
      <c r="N101" s="67"/>
      <c r="O101" s="67"/>
      <c r="P101" s="67"/>
      <c r="Q101" s="67"/>
      <c r="R101" s="67"/>
      <c r="S101" s="67"/>
      <c r="T101" s="67"/>
      <c r="U101" s="67"/>
      <c r="V101" s="67"/>
      <c r="W101" s="67"/>
      <c r="X101" s="67"/>
      <c r="Y101" s="67"/>
      <c r="Z101" s="67"/>
    </row>
    <row r="102" spans="1:26" ht="15" customHeight="1">
      <c r="A102" s="67" t="s">
        <v>952</v>
      </c>
      <c r="B102" s="67" t="s">
        <v>953</v>
      </c>
      <c r="C102" s="67" t="s">
        <v>954</v>
      </c>
      <c r="D102" s="67" t="s">
        <v>955</v>
      </c>
      <c r="E102" s="67" t="s">
        <v>956</v>
      </c>
      <c r="F102" s="67" t="s">
        <v>957</v>
      </c>
      <c r="G102" s="67"/>
      <c r="H102" s="67"/>
      <c r="I102" s="67"/>
      <c r="J102" s="67"/>
      <c r="K102" s="67"/>
      <c r="L102" s="67"/>
      <c r="M102" s="67"/>
      <c r="N102" s="67"/>
      <c r="O102" s="67"/>
      <c r="P102" s="67"/>
      <c r="Q102" s="67"/>
      <c r="R102" s="67"/>
      <c r="S102" s="67"/>
      <c r="T102" s="67"/>
      <c r="U102" s="67"/>
      <c r="V102" s="67"/>
      <c r="W102" s="67"/>
      <c r="X102" s="67"/>
      <c r="Y102" s="67"/>
      <c r="Z102" s="67"/>
    </row>
    <row r="103" spans="1:26" ht="15" customHeight="1">
      <c r="A103" s="67" t="s">
        <v>958</v>
      </c>
      <c r="B103" s="67" t="s">
        <v>959</v>
      </c>
      <c r="C103" s="67" t="s">
        <v>960</v>
      </c>
      <c r="D103" s="67" t="s">
        <v>961</v>
      </c>
      <c r="E103" s="67" t="s">
        <v>962</v>
      </c>
      <c r="F103" s="67" t="s">
        <v>963</v>
      </c>
      <c r="G103" s="67"/>
      <c r="H103" s="67"/>
      <c r="I103" s="67"/>
      <c r="J103" s="67"/>
      <c r="K103" s="67"/>
      <c r="L103" s="67"/>
      <c r="M103" s="67"/>
      <c r="N103" s="67"/>
      <c r="O103" s="67"/>
      <c r="P103" s="67"/>
      <c r="Q103" s="67"/>
      <c r="R103" s="67"/>
      <c r="S103" s="67"/>
      <c r="T103" s="67"/>
      <c r="U103" s="67"/>
      <c r="V103" s="67"/>
      <c r="W103" s="67"/>
      <c r="X103" s="67"/>
      <c r="Y103" s="67"/>
      <c r="Z103" s="67"/>
    </row>
    <row r="104" spans="1:26" ht="15" customHeight="1">
      <c r="A104" s="67" t="s">
        <v>964</v>
      </c>
      <c r="B104" s="67" t="s">
        <v>965</v>
      </c>
      <c r="C104" s="67" t="s">
        <v>966</v>
      </c>
      <c r="D104" s="67" t="s">
        <v>967</v>
      </c>
      <c r="E104" s="67" t="s">
        <v>968</v>
      </c>
      <c r="F104" s="67" t="s">
        <v>969</v>
      </c>
      <c r="G104" s="67"/>
      <c r="H104" s="67"/>
      <c r="I104" s="67"/>
      <c r="J104" s="67"/>
      <c r="K104" s="67"/>
      <c r="L104" s="67"/>
      <c r="M104" s="67"/>
      <c r="N104" s="67"/>
      <c r="O104" s="67"/>
      <c r="P104" s="67"/>
      <c r="Q104" s="67"/>
      <c r="R104" s="67"/>
      <c r="S104" s="67"/>
      <c r="T104" s="67"/>
      <c r="U104" s="67"/>
      <c r="V104" s="67"/>
      <c r="W104" s="67"/>
      <c r="X104" s="67"/>
      <c r="Y104" s="67"/>
      <c r="Z104" s="67"/>
    </row>
    <row r="105" spans="1:26" ht="15" customHeight="1">
      <c r="A105" s="67" t="s">
        <v>970</v>
      </c>
      <c r="B105" s="67" t="s">
        <v>971</v>
      </c>
      <c r="C105" s="67" t="s">
        <v>972</v>
      </c>
      <c r="D105" s="67" t="s">
        <v>973</v>
      </c>
      <c r="E105" s="67" t="s">
        <v>974</v>
      </c>
      <c r="F105" s="67" t="s">
        <v>975</v>
      </c>
      <c r="G105" s="67"/>
      <c r="H105" s="67"/>
      <c r="I105" s="67"/>
      <c r="J105" s="67"/>
      <c r="K105" s="67"/>
      <c r="L105" s="67"/>
      <c r="M105" s="67"/>
      <c r="N105" s="67"/>
      <c r="O105" s="67"/>
      <c r="P105" s="67"/>
      <c r="Q105" s="67"/>
      <c r="R105" s="67"/>
      <c r="S105" s="67"/>
      <c r="T105" s="67"/>
      <c r="U105" s="67"/>
      <c r="V105" s="67"/>
      <c r="W105" s="67"/>
      <c r="X105" s="67"/>
      <c r="Y105" s="67"/>
      <c r="Z105" s="67"/>
    </row>
    <row r="106" spans="1:26" ht="15" customHeight="1">
      <c r="A106" s="67" t="s">
        <v>976</v>
      </c>
      <c r="B106" s="67" t="s">
        <v>977</v>
      </c>
      <c r="C106" s="67" t="s">
        <v>978</v>
      </c>
      <c r="D106" s="67" t="s">
        <v>979</v>
      </c>
      <c r="E106" s="67" t="s">
        <v>980</v>
      </c>
      <c r="F106" s="67" t="s">
        <v>981</v>
      </c>
      <c r="G106" s="67"/>
      <c r="H106" s="67"/>
      <c r="I106" s="67"/>
      <c r="J106" s="67"/>
      <c r="K106" s="67"/>
      <c r="L106" s="67"/>
      <c r="M106" s="67"/>
      <c r="N106" s="67"/>
      <c r="O106" s="67"/>
      <c r="P106" s="67"/>
      <c r="Q106" s="67"/>
      <c r="R106" s="67"/>
      <c r="S106" s="67"/>
      <c r="T106" s="67"/>
      <c r="U106" s="67"/>
      <c r="V106" s="67"/>
      <c r="W106" s="67"/>
      <c r="X106" s="67"/>
      <c r="Y106" s="67"/>
      <c r="Z106" s="67"/>
    </row>
    <row r="107" spans="1:26" ht="15" customHeight="1">
      <c r="A107" s="67" t="s">
        <v>982</v>
      </c>
      <c r="B107" s="67" t="s">
        <v>983</v>
      </c>
      <c r="C107" s="67" t="s">
        <v>984</v>
      </c>
      <c r="D107" s="67" t="s">
        <v>985</v>
      </c>
      <c r="E107" s="67" t="s">
        <v>986</v>
      </c>
      <c r="F107" s="67" t="s">
        <v>987</v>
      </c>
      <c r="G107" s="67"/>
      <c r="H107" s="67"/>
      <c r="I107" s="67"/>
      <c r="J107" s="67"/>
      <c r="K107" s="67"/>
      <c r="L107" s="67"/>
      <c r="M107" s="67"/>
      <c r="N107" s="67"/>
      <c r="O107" s="67"/>
      <c r="P107" s="67"/>
      <c r="Q107" s="67"/>
      <c r="R107" s="67"/>
      <c r="S107" s="67"/>
      <c r="T107" s="67"/>
      <c r="U107" s="67"/>
      <c r="V107" s="67"/>
      <c r="W107" s="67"/>
      <c r="X107" s="67"/>
      <c r="Y107" s="67"/>
      <c r="Z107" s="67"/>
    </row>
    <row r="108" spans="1:26" ht="15" customHeight="1">
      <c r="A108" s="67" t="s">
        <v>988</v>
      </c>
      <c r="B108" s="67" t="s">
        <v>989</v>
      </c>
      <c r="C108" s="67" t="s">
        <v>990</v>
      </c>
      <c r="D108" s="67" t="s">
        <v>991</v>
      </c>
      <c r="E108" s="67" t="s">
        <v>992</v>
      </c>
      <c r="F108" s="67" t="s">
        <v>993</v>
      </c>
      <c r="G108" s="67"/>
      <c r="H108" s="67"/>
      <c r="I108" s="67"/>
      <c r="J108" s="67"/>
      <c r="K108" s="67"/>
      <c r="L108" s="67"/>
      <c r="M108" s="67"/>
      <c r="N108" s="67"/>
      <c r="O108" s="67"/>
      <c r="P108" s="67"/>
      <c r="Q108" s="67"/>
      <c r="R108" s="67"/>
      <c r="S108" s="67"/>
      <c r="T108" s="67"/>
      <c r="U108" s="67"/>
      <c r="V108" s="67"/>
      <c r="W108" s="67"/>
      <c r="X108" s="67"/>
      <c r="Y108" s="67"/>
      <c r="Z108" s="67"/>
    </row>
    <row r="109" spans="1:26" ht="15" customHeight="1">
      <c r="A109" s="67" t="s">
        <v>994</v>
      </c>
      <c r="B109" s="67" t="s">
        <v>995</v>
      </c>
      <c r="C109" s="67" t="s">
        <v>996</v>
      </c>
      <c r="D109" s="67" t="s">
        <v>997</v>
      </c>
      <c r="E109" s="67" t="s">
        <v>998</v>
      </c>
      <c r="F109" s="67" t="s">
        <v>999</v>
      </c>
      <c r="G109" s="67"/>
      <c r="H109" s="67"/>
      <c r="I109" s="67"/>
      <c r="J109" s="67"/>
      <c r="K109" s="67"/>
      <c r="L109" s="67"/>
      <c r="M109" s="67"/>
      <c r="N109" s="67"/>
      <c r="O109" s="67"/>
      <c r="P109" s="67"/>
      <c r="Q109" s="67"/>
      <c r="R109" s="67"/>
      <c r="S109" s="67"/>
      <c r="T109" s="67"/>
      <c r="U109" s="67"/>
      <c r="V109" s="67"/>
      <c r="W109" s="67"/>
      <c r="X109" s="67"/>
      <c r="Y109" s="67"/>
      <c r="Z109" s="67"/>
    </row>
    <row r="110" spans="1:26" ht="15" customHeight="1">
      <c r="A110" s="67" t="s">
        <v>1000</v>
      </c>
      <c r="B110" s="67" t="s">
        <v>1001</v>
      </c>
      <c r="C110" s="67" t="s">
        <v>1002</v>
      </c>
      <c r="D110" s="67" t="s">
        <v>1003</v>
      </c>
      <c r="E110" s="67" t="s">
        <v>1004</v>
      </c>
      <c r="F110" s="67" t="s">
        <v>1005</v>
      </c>
      <c r="G110" s="67"/>
      <c r="H110" s="67"/>
      <c r="I110" s="67"/>
      <c r="J110" s="67"/>
      <c r="K110" s="67"/>
      <c r="L110" s="67"/>
      <c r="M110" s="67"/>
      <c r="N110" s="67"/>
      <c r="O110" s="67"/>
      <c r="P110" s="67"/>
      <c r="Q110" s="67"/>
      <c r="R110" s="67"/>
      <c r="S110" s="67"/>
      <c r="T110" s="67"/>
      <c r="U110" s="67"/>
      <c r="V110" s="67"/>
      <c r="W110" s="67"/>
      <c r="X110" s="67"/>
      <c r="Y110" s="67"/>
      <c r="Z110" s="67"/>
    </row>
    <row r="111" spans="1:26" ht="15" customHeight="1">
      <c r="A111" s="67" t="s">
        <v>1006</v>
      </c>
      <c r="B111" s="67" t="s">
        <v>1007</v>
      </c>
      <c r="C111" s="67" t="s">
        <v>1008</v>
      </c>
      <c r="D111" s="67" t="s">
        <v>1009</v>
      </c>
      <c r="E111" s="67" t="s">
        <v>1010</v>
      </c>
      <c r="F111" s="67" t="s">
        <v>1011</v>
      </c>
      <c r="G111" s="67"/>
      <c r="H111" s="67"/>
      <c r="I111" s="67"/>
      <c r="J111" s="67"/>
      <c r="K111" s="67"/>
      <c r="L111" s="67"/>
      <c r="M111" s="67"/>
      <c r="N111" s="67"/>
      <c r="O111" s="67"/>
      <c r="P111" s="67"/>
      <c r="Q111" s="67"/>
      <c r="R111" s="67"/>
      <c r="S111" s="67"/>
      <c r="T111" s="67"/>
      <c r="U111" s="67"/>
      <c r="V111" s="67"/>
      <c r="W111" s="67"/>
      <c r="X111" s="67"/>
      <c r="Y111" s="67"/>
      <c r="Z111" s="67"/>
    </row>
    <row r="112" spans="1:26" ht="15" customHeight="1">
      <c r="A112" s="67" t="s">
        <v>1012</v>
      </c>
      <c r="B112" s="67" t="s">
        <v>1013</v>
      </c>
      <c r="C112" s="67" t="s">
        <v>1014</v>
      </c>
      <c r="D112" s="67" t="s">
        <v>1015</v>
      </c>
      <c r="E112" s="67" t="s">
        <v>1016</v>
      </c>
      <c r="F112" s="67" t="s">
        <v>1017</v>
      </c>
      <c r="G112" s="67"/>
      <c r="H112" s="67"/>
      <c r="I112" s="67"/>
      <c r="J112" s="67"/>
      <c r="K112" s="67"/>
      <c r="L112" s="67"/>
      <c r="M112" s="67"/>
      <c r="N112" s="67"/>
      <c r="O112" s="67"/>
      <c r="P112" s="67"/>
      <c r="Q112" s="67"/>
      <c r="R112" s="67"/>
      <c r="S112" s="67"/>
      <c r="T112" s="67"/>
      <c r="U112" s="67"/>
      <c r="V112" s="67"/>
      <c r="W112" s="67"/>
      <c r="X112" s="67"/>
      <c r="Y112" s="67"/>
      <c r="Z112" s="67"/>
    </row>
    <row r="113" spans="1:26" ht="15" customHeight="1">
      <c r="A113" s="67" t="s">
        <v>1018</v>
      </c>
      <c r="B113" s="67" t="s">
        <v>1019</v>
      </c>
      <c r="C113" s="67" t="s">
        <v>1020</v>
      </c>
      <c r="D113" s="67" t="s">
        <v>1019</v>
      </c>
      <c r="E113" s="67" t="s">
        <v>1019</v>
      </c>
      <c r="F113" s="67" t="s">
        <v>1020</v>
      </c>
      <c r="G113" s="67"/>
      <c r="H113" s="67"/>
      <c r="I113" s="67"/>
      <c r="J113" s="67"/>
      <c r="K113" s="67"/>
      <c r="L113" s="67"/>
      <c r="M113" s="67"/>
      <c r="N113" s="67"/>
      <c r="O113" s="67"/>
      <c r="P113" s="67"/>
      <c r="Q113" s="67"/>
      <c r="R113" s="67"/>
      <c r="S113" s="67"/>
      <c r="T113" s="67"/>
      <c r="U113" s="67"/>
      <c r="V113" s="67"/>
      <c r="W113" s="67"/>
      <c r="X113" s="67"/>
      <c r="Y113" s="67"/>
      <c r="Z113" s="67"/>
    </row>
    <row r="114" spans="1:26" ht="15" customHeight="1">
      <c r="A114" s="67" t="s">
        <v>1021</v>
      </c>
      <c r="B114" s="67" t="s">
        <v>1022</v>
      </c>
      <c r="C114" s="67" t="s">
        <v>1023</v>
      </c>
      <c r="D114" s="67" t="s">
        <v>1024</v>
      </c>
      <c r="E114" s="67" t="s">
        <v>1025</v>
      </c>
      <c r="F114" s="67" t="s">
        <v>1023</v>
      </c>
      <c r="G114" s="67"/>
      <c r="H114" s="67"/>
      <c r="I114" s="67"/>
      <c r="J114" s="67"/>
      <c r="K114" s="67"/>
      <c r="L114" s="67"/>
      <c r="M114" s="67"/>
      <c r="N114" s="67"/>
      <c r="O114" s="67"/>
      <c r="P114" s="67"/>
      <c r="Q114" s="67"/>
      <c r="R114" s="67"/>
      <c r="S114" s="67"/>
      <c r="T114" s="67"/>
      <c r="U114" s="67"/>
      <c r="V114" s="67"/>
      <c r="W114" s="67"/>
      <c r="X114" s="67"/>
      <c r="Y114" s="67"/>
      <c r="Z114" s="67"/>
    </row>
    <row r="115" spans="1:26" ht="15" customHeight="1">
      <c r="A115" s="67" t="s">
        <v>1026</v>
      </c>
      <c r="B115" s="67" t="s">
        <v>1027</v>
      </c>
      <c r="C115" s="67" t="s">
        <v>1028</v>
      </c>
      <c r="D115" s="67" t="s">
        <v>1029</v>
      </c>
      <c r="E115" s="67" t="s">
        <v>1030</v>
      </c>
      <c r="F115" s="67" t="s">
        <v>1031</v>
      </c>
      <c r="G115" s="67"/>
      <c r="H115" s="67"/>
      <c r="I115" s="67"/>
      <c r="J115" s="67"/>
      <c r="K115" s="67"/>
      <c r="L115" s="67"/>
      <c r="M115" s="67"/>
      <c r="N115" s="67"/>
      <c r="O115" s="67"/>
      <c r="P115" s="67"/>
      <c r="Q115" s="67"/>
      <c r="R115" s="67"/>
      <c r="S115" s="67"/>
      <c r="T115" s="67"/>
      <c r="U115" s="67"/>
      <c r="V115" s="67"/>
      <c r="W115" s="67"/>
      <c r="X115" s="67"/>
      <c r="Y115" s="67"/>
      <c r="Z115" s="67"/>
    </row>
    <row r="116" spans="1:26" ht="15" customHeight="1">
      <c r="A116" s="67" t="s">
        <v>1032</v>
      </c>
      <c r="B116" s="67" t="s">
        <v>1033</v>
      </c>
      <c r="C116" s="67" t="s">
        <v>1034</v>
      </c>
      <c r="D116" s="67" t="s">
        <v>1035</v>
      </c>
      <c r="E116" s="67" t="s">
        <v>1036</v>
      </c>
      <c r="F116" s="67" t="s">
        <v>1037</v>
      </c>
      <c r="G116" s="67"/>
      <c r="H116" s="67"/>
      <c r="I116" s="67"/>
      <c r="J116" s="67"/>
      <c r="K116" s="67"/>
      <c r="L116" s="67"/>
      <c r="M116" s="67"/>
      <c r="N116" s="67"/>
      <c r="O116" s="67"/>
      <c r="P116" s="67"/>
      <c r="Q116" s="67"/>
      <c r="R116" s="67"/>
      <c r="S116" s="67"/>
      <c r="T116" s="67"/>
      <c r="U116" s="67"/>
      <c r="V116" s="67"/>
      <c r="W116" s="67"/>
      <c r="X116" s="67"/>
      <c r="Y116" s="67"/>
      <c r="Z116" s="67"/>
    </row>
    <row r="117" spans="1:26" ht="15" customHeight="1">
      <c r="A117" s="67" t="s">
        <v>1038</v>
      </c>
      <c r="B117" s="67" t="s">
        <v>1039</v>
      </c>
      <c r="C117" s="67" t="s">
        <v>1040</v>
      </c>
      <c r="D117" s="67" t="s">
        <v>1041</v>
      </c>
      <c r="E117" s="67" t="s">
        <v>1042</v>
      </c>
      <c r="F117" s="67" t="s">
        <v>1043</v>
      </c>
      <c r="G117" s="67"/>
      <c r="H117" s="67"/>
      <c r="I117" s="67"/>
      <c r="J117" s="67"/>
      <c r="K117" s="67"/>
      <c r="L117" s="67"/>
      <c r="M117" s="67"/>
      <c r="N117" s="67"/>
      <c r="O117" s="67"/>
      <c r="P117" s="67"/>
      <c r="Q117" s="67"/>
      <c r="R117" s="67"/>
      <c r="S117" s="67"/>
      <c r="T117" s="67"/>
      <c r="U117" s="67"/>
      <c r="V117" s="67"/>
      <c r="W117" s="67"/>
      <c r="X117" s="67"/>
      <c r="Y117" s="67"/>
      <c r="Z117" s="67"/>
    </row>
    <row r="118" spans="1:26" ht="15" customHeight="1">
      <c r="A118" s="67" t="s">
        <v>1044</v>
      </c>
      <c r="B118" s="67" t="s">
        <v>1045</v>
      </c>
      <c r="C118" s="67" t="s">
        <v>1046</v>
      </c>
      <c r="D118" s="67" t="s">
        <v>1047</v>
      </c>
      <c r="E118" s="67" t="s">
        <v>1045</v>
      </c>
      <c r="F118" s="67" t="s">
        <v>1045</v>
      </c>
      <c r="G118" s="67"/>
      <c r="H118" s="67"/>
      <c r="I118" s="67"/>
      <c r="J118" s="67"/>
      <c r="K118" s="67"/>
      <c r="L118" s="67"/>
      <c r="M118" s="67"/>
      <c r="N118" s="67"/>
      <c r="O118" s="67"/>
      <c r="P118" s="67"/>
      <c r="Q118" s="67"/>
      <c r="R118" s="67"/>
      <c r="S118" s="67"/>
      <c r="T118" s="67"/>
      <c r="U118" s="67"/>
      <c r="V118" s="67"/>
      <c r="W118" s="67"/>
      <c r="X118" s="67"/>
      <c r="Y118" s="67"/>
      <c r="Z118" s="67"/>
    </row>
    <row r="119" spans="1:26" ht="15" customHeight="1">
      <c r="A119" s="67" t="s">
        <v>1048</v>
      </c>
      <c r="B119" s="67" t="s">
        <v>1049</v>
      </c>
      <c r="C119" s="67" t="s">
        <v>1049</v>
      </c>
      <c r="D119" s="67" t="s">
        <v>1050</v>
      </c>
      <c r="E119" s="67" t="s">
        <v>1049</v>
      </c>
      <c r="F119" s="67" t="s">
        <v>1051</v>
      </c>
      <c r="G119" s="67"/>
      <c r="H119" s="67"/>
      <c r="I119" s="67"/>
      <c r="J119" s="67"/>
      <c r="K119" s="67"/>
      <c r="L119" s="67"/>
      <c r="M119" s="67"/>
      <c r="N119" s="67"/>
      <c r="O119" s="67"/>
      <c r="P119" s="67"/>
      <c r="Q119" s="67"/>
      <c r="R119" s="67"/>
      <c r="S119" s="67"/>
      <c r="T119" s="67"/>
      <c r="U119" s="67"/>
      <c r="V119" s="67"/>
      <c r="W119" s="67"/>
      <c r="X119" s="67"/>
      <c r="Y119" s="67"/>
      <c r="Z119" s="67"/>
    </row>
    <row r="120" spans="1:26" ht="15" customHeight="1">
      <c r="A120" s="67" t="s">
        <v>1052</v>
      </c>
      <c r="B120" s="67" t="s">
        <v>1053</v>
      </c>
      <c r="C120" s="67" t="s">
        <v>1053</v>
      </c>
      <c r="D120" s="67" t="s">
        <v>1054</v>
      </c>
      <c r="E120" s="67" t="s">
        <v>1055</v>
      </c>
      <c r="F120" s="67" t="s">
        <v>1053</v>
      </c>
      <c r="G120" s="67"/>
      <c r="H120" s="67"/>
      <c r="I120" s="67"/>
      <c r="J120" s="67"/>
      <c r="K120" s="67"/>
      <c r="L120" s="67"/>
      <c r="M120" s="67"/>
      <c r="N120" s="67"/>
      <c r="O120" s="67"/>
      <c r="P120" s="67"/>
      <c r="Q120" s="67"/>
      <c r="R120" s="67"/>
      <c r="S120" s="67"/>
      <c r="T120" s="67"/>
      <c r="U120" s="67"/>
      <c r="V120" s="67"/>
      <c r="W120" s="67"/>
      <c r="X120" s="67"/>
      <c r="Y120" s="67"/>
      <c r="Z120" s="67"/>
    </row>
    <row r="121" spans="1:26" ht="15" customHeight="1">
      <c r="A121" s="67" t="s">
        <v>1056</v>
      </c>
      <c r="B121" s="67" t="s">
        <v>1057</v>
      </c>
      <c r="C121" s="67" t="s">
        <v>1058</v>
      </c>
      <c r="D121" s="67" t="s">
        <v>1059</v>
      </c>
      <c r="E121" s="67" t="s">
        <v>1057</v>
      </c>
      <c r="F121" s="67" t="s">
        <v>1058</v>
      </c>
      <c r="G121" s="67"/>
      <c r="H121" s="67"/>
      <c r="I121" s="67"/>
      <c r="J121" s="67"/>
      <c r="K121" s="67"/>
      <c r="L121" s="67"/>
      <c r="M121" s="67"/>
      <c r="N121" s="67"/>
      <c r="O121" s="67"/>
      <c r="P121" s="67"/>
      <c r="Q121" s="67"/>
      <c r="R121" s="67"/>
      <c r="S121" s="67"/>
      <c r="T121" s="67"/>
      <c r="U121" s="67"/>
      <c r="V121" s="67"/>
      <c r="W121" s="67"/>
      <c r="X121" s="67"/>
      <c r="Y121" s="67"/>
      <c r="Z121" s="67"/>
    </row>
    <row r="122" spans="1:26" ht="15" customHeight="1">
      <c r="A122" s="67" t="s">
        <v>1060</v>
      </c>
      <c r="B122" s="67" t="s">
        <v>1061</v>
      </c>
      <c r="C122" s="67" t="s">
        <v>1061</v>
      </c>
      <c r="D122" s="67" t="s">
        <v>1062</v>
      </c>
      <c r="E122" s="67" t="s">
        <v>1063</v>
      </c>
      <c r="F122" s="67" t="s">
        <v>1063</v>
      </c>
      <c r="G122" s="67"/>
      <c r="H122" s="67"/>
      <c r="I122" s="67"/>
      <c r="J122" s="67"/>
      <c r="K122" s="67"/>
      <c r="L122" s="67"/>
      <c r="M122" s="67"/>
      <c r="N122" s="67"/>
      <c r="O122" s="67"/>
      <c r="P122" s="67"/>
      <c r="Q122" s="67"/>
      <c r="R122" s="67"/>
      <c r="S122" s="67"/>
      <c r="T122" s="67"/>
      <c r="U122" s="67"/>
      <c r="V122" s="67"/>
      <c r="W122" s="67"/>
      <c r="X122" s="67"/>
      <c r="Y122" s="67"/>
      <c r="Z122" s="67"/>
    </row>
    <row r="123" spans="1:26" ht="15" customHeight="1">
      <c r="A123" s="67" t="s">
        <v>1064</v>
      </c>
      <c r="B123" s="67" t="s">
        <v>1065</v>
      </c>
      <c r="C123" s="67" t="s">
        <v>1065</v>
      </c>
      <c r="D123" s="67" t="s">
        <v>1066</v>
      </c>
      <c r="E123" s="67" t="s">
        <v>1065</v>
      </c>
      <c r="F123" s="67" t="s">
        <v>1065</v>
      </c>
      <c r="G123" s="67"/>
      <c r="H123" s="67"/>
      <c r="I123" s="67"/>
      <c r="J123" s="67"/>
      <c r="K123" s="67"/>
      <c r="L123" s="67"/>
      <c r="M123" s="67"/>
      <c r="N123" s="67"/>
      <c r="O123" s="67"/>
      <c r="P123" s="67"/>
      <c r="Q123" s="67"/>
      <c r="R123" s="67"/>
      <c r="S123" s="67"/>
      <c r="T123" s="67"/>
      <c r="U123" s="67"/>
      <c r="V123" s="67"/>
      <c r="W123" s="67"/>
      <c r="X123" s="67"/>
      <c r="Y123" s="67"/>
      <c r="Z123" s="67"/>
    </row>
    <row r="124" spans="1:26" ht="15" customHeight="1">
      <c r="A124" s="67" t="s">
        <v>1067</v>
      </c>
      <c r="B124" s="67" t="s">
        <v>1068</v>
      </c>
      <c r="C124" s="67" t="s">
        <v>1068</v>
      </c>
      <c r="D124" s="67" t="s">
        <v>1069</v>
      </c>
      <c r="E124" s="67" t="s">
        <v>1068</v>
      </c>
      <c r="F124" s="67" t="s">
        <v>1068</v>
      </c>
      <c r="G124" s="67"/>
      <c r="H124" s="67"/>
      <c r="I124" s="67"/>
      <c r="J124" s="67"/>
      <c r="K124" s="67"/>
      <c r="L124" s="67"/>
      <c r="M124" s="67"/>
      <c r="N124" s="67"/>
      <c r="O124" s="67"/>
      <c r="P124" s="67"/>
      <c r="Q124" s="67"/>
      <c r="R124" s="67"/>
      <c r="S124" s="67"/>
      <c r="T124" s="67"/>
      <c r="U124" s="67"/>
      <c r="V124" s="67"/>
      <c r="W124" s="67"/>
      <c r="X124" s="67"/>
      <c r="Y124" s="67"/>
      <c r="Z124" s="67"/>
    </row>
    <row r="125" spans="1:26" ht="15" customHeight="1">
      <c r="A125" s="67" t="s">
        <v>1070</v>
      </c>
      <c r="B125" s="67" t="s">
        <v>1071</v>
      </c>
      <c r="C125" s="67" t="s">
        <v>1072</v>
      </c>
      <c r="D125" s="67" t="s">
        <v>1073</v>
      </c>
      <c r="E125" s="67" t="s">
        <v>1071</v>
      </c>
      <c r="F125" s="67" t="s">
        <v>1072</v>
      </c>
      <c r="G125" s="67"/>
      <c r="H125" s="67"/>
      <c r="I125" s="67"/>
      <c r="J125" s="67"/>
      <c r="K125" s="67"/>
      <c r="L125" s="67"/>
      <c r="M125" s="67"/>
      <c r="N125" s="67"/>
      <c r="O125" s="67"/>
      <c r="P125" s="67"/>
      <c r="Q125" s="67"/>
      <c r="R125" s="67"/>
      <c r="S125" s="67"/>
      <c r="T125" s="67"/>
      <c r="U125" s="67"/>
      <c r="V125" s="67"/>
      <c r="W125" s="67"/>
      <c r="X125" s="67"/>
      <c r="Y125" s="67"/>
      <c r="Z125" s="67"/>
    </row>
    <row r="126" spans="1:26" ht="15" customHeight="1">
      <c r="A126" s="67" t="s">
        <v>1074</v>
      </c>
      <c r="B126" s="67" t="s">
        <v>1075</v>
      </c>
      <c r="C126" s="67" t="s">
        <v>1075</v>
      </c>
      <c r="D126" s="67" t="s">
        <v>1076</v>
      </c>
      <c r="E126" s="67" t="s">
        <v>1075</v>
      </c>
      <c r="F126" s="67" t="s">
        <v>1077</v>
      </c>
      <c r="G126" s="67"/>
      <c r="H126" s="67"/>
      <c r="I126" s="67"/>
      <c r="J126" s="67"/>
      <c r="K126" s="67"/>
      <c r="L126" s="67"/>
      <c r="M126" s="67"/>
      <c r="N126" s="67"/>
      <c r="O126" s="67"/>
      <c r="P126" s="67"/>
      <c r="Q126" s="67"/>
      <c r="R126" s="67"/>
      <c r="S126" s="67"/>
      <c r="T126" s="67"/>
      <c r="U126" s="67"/>
      <c r="V126" s="67"/>
      <c r="W126" s="67"/>
      <c r="X126" s="67"/>
      <c r="Y126" s="67"/>
      <c r="Z126" s="67"/>
    </row>
    <row r="127" spans="1:26" ht="15" customHeight="1">
      <c r="A127" s="67" t="s">
        <v>1078</v>
      </c>
      <c r="B127" s="67" t="s">
        <v>1079</v>
      </c>
      <c r="C127" s="67" t="s">
        <v>1079</v>
      </c>
      <c r="D127" s="67" t="s">
        <v>1080</v>
      </c>
      <c r="E127" s="67" t="s">
        <v>1081</v>
      </c>
      <c r="F127" s="67" t="s">
        <v>1082</v>
      </c>
      <c r="G127" s="67"/>
      <c r="H127" s="67"/>
      <c r="I127" s="67"/>
      <c r="J127" s="67"/>
      <c r="K127" s="67"/>
      <c r="L127" s="67"/>
      <c r="M127" s="67"/>
      <c r="N127" s="67"/>
      <c r="O127" s="67"/>
      <c r="P127" s="67"/>
      <c r="Q127" s="67"/>
      <c r="R127" s="67"/>
      <c r="S127" s="67"/>
      <c r="T127" s="67"/>
      <c r="U127" s="67"/>
      <c r="V127" s="67"/>
      <c r="W127" s="67"/>
      <c r="X127" s="67"/>
      <c r="Y127" s="67"/>
      <c r="Z127" s="67"/>
    </row>
    <row r="128" spans="1:26" ht="15" customHeight="1">
      <c r="A128" s="67" t="s">
        <v>1083</v>
      </c>
      <c r="B128" s="67" t="s">
        <v>1084</v>
      </c>
      <c r="C128" s="67" t="s">
        <v>1084</v>
      </c>
      <c r="D128" s="67" t="s">
        <v>1085</v>
      </c>
      <c r="E128" s="67" t="s">
        <v>1084</v>
      </c>
      <c r="F128" s="67" t="s">
        <v>1084</v>
      </c>
      <c r="G128" s="67"/>
      <c r="H128" s="67"/>
      <c r="I128" s="67"/>
      <c r="J128" s="67"/>
      <c r="K128" s="67"/>
      <c r="L128" s="67"/>
      <c r="M128" s="67"/>
      <c r="N128" s="67"/>
      <c r="O128" s="67"/>
      <c r="P128" s="67"/>
      <c r="Q128" s="67"/>
      <c r="R128" s="67"/>
      <c r="S128" s="67"/>
      <c r="T128" s="67"/>
      <c r="U128" s="67"/>
      <c r="V128" s="67"/>
      <c r="W128" s="67"/>
      <c r="X128" s="67"/>
      <c r="Y128" s="67"/>
      <c r="Z128" s="67"/>
    </row>
    <row r="129" spans="1:26" ht="15" customHeight="1">
      <c r="A129" s="67" t="s">
        <v>1086</v>
      </c>
      <c r="B129" s="67" t="s">
        <v>1087</v>
      </c>
      <c r="C129" s="67" t="s">
        <v>1088</v>
      </c>
      <c r="D129" s="67" t="s">
        <v>1089</v>
      </c>
      <c r="E129" s="67" t="s">
        <v>1090</v>
      </c>
      <c r="F129" s="67" t="s">
        <v>1090</v>
      </c>
      <c r="G129" s="67"/>
      <c r="H129" s="67"/>
      <c r="I129" s="67"/>
      <c r="J129" s="67"/>
      <c r="K129" s="67"/>
      <c r="L129" s="67"/>
      <c r="M129" s="67"/>
      <c r="N129" s="67"/>
      <c r="O129" s="67"/>
      <c r="P129" s="67"/>
      <c r="Q129" s="67"/>
      <c r="R129" s="67"/>
      <c r="S129" s="67"/>
      <c r="T129" s="67"/>
      <c r="U129" s="67"/>
      <c r="V129" s="67"/>
      <c r="W129" s="67"/>
      <c r="X129" s="67"/>
      <c r="Y129" s="67"/>
      <c r="Z129" s="67"/>
    </row>
    <row r="130" spans="1:26" ht="15" customHeight="1">
      <c r="A130" s="67" t="s">
        <v>1091</v>
      </c>
      <c r="B130" s="67" t="s">
        <v>1092</v>
      </c>
      <c r="C130" s="67" t="s">
        <v>1093</v>
      </c>
      <c r="D130" s="67" t="s">
        <v>1094</v>
      </c>
      <c r="E130" s="67" t="s">
        <v>1095</v>
      </c>
      <c r="F130" s="67" t="s">
        <v>1096</v>
      </c>
      <c r="G130" s="67"/>
      <c r="H130" s="67"/>
      <c r="I130" s="67"/>
      <c r="J130" s="67"/>
      <c r="K130" s="67"/>
      <c r="L130" s="67"/>
      <c r="M130" s="67"/>
      <c r="N130" s="67"/>
      <c r="O130" s="67"/>
      <c r="P130" s="67"/>
      <c r="Q130" s="67"/>
      <c r="R130" s="67"/>
      <c r="S130" s="67"/>
      <c r="T130" s="67"/>
      <c r="U130" s="67"/>
      <c r="V130" s="67"/>
      <c r="W130" s="67"/>
      <c r="X130" s="67"/>
      <c r="Y130" s="67"/>
      <c r="Z130" s="67"/>
    </row>
    <row r="131" spans="1:26" ht="15" customHeight="1">
      <c r="A131" s="67" t="s">
        <v>1097</v>
      </c>
      <c r="B131" s="67" t="s">
        <v>1098</v>
      </c>
      <c r="C131" s="67" t="s">
        <v>1053</v>
      </c>
      <c r="D131" s="67" t="s">
        <v>1099</v>
      </c>
      <c r="E131" s="67" t="s">
        <v>1100</v>
      </c>
      <c r="F131" s="67" t="s">
        <v>1101</v>
      </c>
      <c r="G131" s="67"/>
      <c r="H131" s="67"/>
      <c r="I131" s="67"/>
      <c r="J131" s="67"/>
      <c r="K131" s="67"/>
      <c r="L131" s="67"/>
      <c r="M131" s="67"/>
      <c r="N131" s="67"/>
      <c r="O131" s="67"/>
      <c r="P131" s="67"/>
      <c r="Q131" s="67"/>
      <c r="R131" s="67"/>
      <c r="S131" s="67"/>
      <c r="T131" s="67"/>
      <c r="U131" s="67"/>
      <c r="V131" s="67"/>
      <c r="W131" s="67"/>
      <c r="X131" s="67"/>
      <c r="Y131" s="67"/>
      <c r="Z131" s="67"/>
    </row>
    <row r="132" spans="1:26" ht="15" customHeight="1">
      <c r="A132" s="67" t="s">
        <v>1102</v>
      </c>
      <c r="B132" s="67" t="s">
        <v>1103</v>
      </c>
      <c r="C132" s="67" t="s">
        <v>1104</v>
      </c>
      <c r="D132" s="67" t="s">
        <v>1105</v>
      </c>
      <c r="E132" s="67" t="s">
        <v>1106</v>
      </c>
      <c r="F132" s="67" t="s">
        <v>1107</v>
      </c>
      <c r="G132" s="67"/>
      <c r="H132" s="67"/>
      <c r="I132" s="67"/>
      <c r="J132" s="67"/>
      <c r="K132" s="67"/>
      <c r="L132" s="67"/>
      <c r="M132" s="67"/>
      <c r="N132" s="67"/>
      <c r="O132" s="67"/>
      <c r="P132" s="67"/>
      <c r="Q132" s="67"/>
      <c r="R132" s="67"/>
      <c r="S132" s="67"/>
      <c r="T132" s="67"/>
      <c r="U132" s="67"/>
      <c r="V132" s="67"/>
      <c r="W132" s="67"/>
      <c r="X132" s="67"/>
      <c r="Y132" s="67"/>
      <c r="Z132" s="67"/>
    </row>
    <row r="133" spans="1:26" ht="15" customHeight="1">
      <c r="A133" s="67" t="s">
        <v>1108</v>
      </c>
      <c r="B133" s="67" t="s">
        <v>1109</v>
      </c>
      <c r="C133" s="67" t="s">
        <v>1110</v>
      </c>
      <c r="D133" s="67" t="s">
        <v>1111</v>
      </c>
      <c r="E133" s="67" t="s">
        <v>1112</v>
      </c>
      <c r="F133" s="67" t="s">
        <v>1113</v>
      </c>
      <c r="G133" s="67"/>
      <c r="H133" s="67"/>
      <c r="I133" s="67"/>
      <c r="J133" s="67"/>
      <c r="K133" s="67"/>
      <c r="L133" s="67"/>
      <c r="M133" s="67"/>
      <c r="N133" s="67"/>
      <c r="O133" s="67"/>
      <c r="P133" s="67"/>
      <c r="Q133" s="67"/>
      <c r="R133" s="67"/>
      <c r="S133" s="67"/>
      <c r="T133" s="67"/>
      <c r="U133" s="67"/>
      <c r="V133" s="67"/>
      <c r="W133" s="67"/>
      <c r="X133" s="67"/>
      <c r="Y133" s="67"/>
      <c r="Z133" s="67"/>
    </row>
    <row r="134" spans="1:26" ht="15" customHeight="1">
      <c r="A134" s="67" t="s">
        <v>1114</v>
      </c>
      <c r="B134" s="67" t="s">
        <v>1115</v>
      </c>
      <c r="C134" s="67" t="s">
        <v>1116</v>
      </c>
      <c r="D134" s="67" t="s">
        <v>1117</v>
      </c>
      <c r="E134" s="67" t="s">
        <v>1118</v>
      </c>
      <c r="F134" s="67" t="s">
        <v>1119</v>
      </c>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t="s">
        <v>1120</v>
      </c>
      <c r="B135" s="67" t="s">
        <v>1121</v>
      </c>
      <c r="C135" s="67" t="s">
        <v>1122</v>
      </c>
      <c r="D135" s="67" t="s">
        <v>1123</v>
      </c>
      <c r="E135" s="67" t="s">
        <v>1124</v>
      </c>
      <c r="F135" s="67" t="s">
        <v>1122</v>
      </c>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t="s">
        <v>1125</v>
      </c>
      <c r="B136" s="67" t="s">
        <v>1126</v>
      </c>
      <c r="C136" s="67" t="s">
        <v>1127</v>
      </c>
      <c r="D136" s="67" t="s">
        <v>1128</v>
      </c>
      <c r="E136" s="67" t="s">
        <v>1129</v>
      </c>
      <c r="F136" s="67" t="s">
        <v>1127</v>
      </c>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t="s">
        <v>1130</v>
      </c>
      <c r="B137" s="67" t="s">
        <v>1131</v>
      </c>
      <c r="C137" s="67" t="s">
        <v>1132</v>
      </c>
      <c r="D137" s="67" t="s">
        <v>1133</v>
      </c>
      <c r="E137" s="67" t="s">
        <v>1134</v>
      </c>
      <c r="F137" s="67" t="s">
        <v>1135</v>
      </c>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t="s">
        <v>1136</v>
      </c>
      <c r="B138" s="67" t="s">
        <v>1137</v>
      </c>
      <c r="C138" s="67" t="s">
        <v>1138</v>
      </c>
      <c r="D138" s="67" t="s">
        <v>1139</v>
      </c>
      <c r="E138" s="67" t="s">
        <v>1140</v>
      </c>
      <c r="F138" s="67" t="s">
        <v>1141</v>
      </c>
      <c r="G138" s="67"/>
      <c r="H138" s="67"/>
      <c r="I138" s="67"/>
      <c r="J138" s="67"/>
      <c r="K138" s="67"/>
      <c r="L138" s="67"/>
      <c r="M138" s="67"/>
      <c r="N138" s="67"/>
      <c r="O138" s="67"/>
      <c r="P138" s="67"/>
      <c r="Q138" s="67"/>
      <c r="R138" s="67"/>
      <c r="S138" s="67"/>
      <c r="T138" s="67"/>
      <c r="U138" s="67"/>
      <c r="V138" s="67"/>
      <c r="W138" s="67"/>
      <c r="X138" s="67"/>
      <c r="Y138" s="67"/>
      <c r="Z138" s="67"/>
    </row>
    <row r="139" spans="1:26" s="163" customFormat="1" ht="15.75" customHeight="1">
      <c r="A139" s="162" t="s">
        <v>1142</v>
      </c>
      <c r="B139" s="162" t="s">
        <v>1143</v>
      </c>
      <c r="C139" s="162" t="s">
        <v>1143</v>
      </c>
      <c r="D139" s="162" t="s">
        <v>1143</v>
      </c>
      <c r="E139" s="162" t="s">
        <v>1143</v>
      </c>
      <c r="F139" s="162" t="s">
        <v>1143</v>
      </c>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5.75" customHeight="1">
      <c r="A140" s="67" t="s">
        <v>1144</v>
      </c>
      <c r="B140" s="67" t="s">
        <v>1145</v>
      </c>
      <c r="C140" s="67" t="s">
        <v>1146</v>
      </c>
      <c r="D140" s="67" t="s">
        <v>1147</v>
      </c>
      <c r="E140" s="67" t="s">
        <v>1148</v>
      </c>
      <c r="F140" s="67" t="s">
        <v>1149</v>
      </c>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t="s">
        <v>1150</v>
      </c>
      <c r="B141" s="67" t="s">
        <v>1151</v>
      </c>
      <c r="C141" s="67" t="s">
        <v>1152</v>
      </c>
      <c r="D141" s="67" t="s">
        <v>1153</v>
      </c>
      <c r="E141" s="67" t="s">
        <v>1154</v>
      </c>
      <c r="F141" s="67" t="s">
        <v>1155</v>
      </c>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t="s">
        <v>1156</v>
      </c>
      <c r="B142" s="67" t="s">
        <v>1157</v>
      </c>
      <c r="C142" s="67" t="s">
        <v>1158</v>
      </c>
      <c r="D142" s="67" t="s">
        <v>1159</v>
      </c>
      <c r="E142" s="67" t="s">
        <v>1160</v>
      </c>
      <c r="F142" s="67" t="s">
        <v>1161</v>
      </c>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t="s">
        <v>1162</v>
      </c>
      <c r="B143" s="67" t="s">
        <v>1163</v>
      </c>
      <c r="C143" s="67" t="s">
        <v>1164</v>
      </c>
      <c r="D143" s="67" t="s">
        <v>1165</v>
      </c>
      <c r="E143" s="67" t="s">
        <v>1166</v>
      </c>
      <c r="F143" s="67" t="s">
        <v>1167</v>
      </c>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t="s">
        <v>1168</v>
      </c>
      <c r="B144" s="67" t="s">
        <v>1169</v>
      </c>
      <c r="C144" s="67" t="s">
        <v>1170</v>
      </c>
      <c r="D144" s="67" t="s">
        <v>1171</v>
      </c>
      <c r="E144" s="67" t="s">
        <v>1172</v>
      </c>
      <c r="F144" s="67" t="s">
        <v>1173</v>
      </c>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t="s">
        <v>1174</v>
      </c>
      <c r="B145" s="67" t="s">
        <v>1175</v>
      </c>
      <c r="C145" s="67" t="s">
        <v>1176</v>
      </c>
      <c r="D145" s="67" t="s">
        <v>1177</v>
      </c>
      <c r="E145" s="67" t="s">
        <v>1178</v>
      </c>
      <c r="F145" s="67" t="s">
        <v>1179</v>
      </c>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t="s">
        <v>1180</v>
      </c>
      <c r="B146" s="67" t="s">
        <v>1181</v>
      </c>
      <c r="C146" s="67" t="s">
        <v>1182</v>
      </c>
      <c r="D146" s="67" t="s">
        <v>1183</v>
      </c>
      <c r="E146" s="67" t="s">
        <v>1184</v>
      </c>
      <c r="F146" s="67" t="s">
        <v>1185</v>
      </c>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t="s">
        <v>1186</v>
      </c>
      <c r="B147" s="67" t="s">
        <v>855</v>
      </c>
      <c r="C147" s="67" t="s">
        <v>856</v>
      </c>
      <c r="D147" s="67" t="s">
        <v>857</v>
      </c>
      <c r="E147" s="67" t="s">
        <v>855</v>
      </c>
      <c r="F147" s="67" t="s">
        <v>1187</v>
      </c>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t="s">
        <v>1188</v>
      </c>
      <c r="B148" s="67" t="s">
        <v>1189</v>
      </c>
      <c r="C148" s="67" t="s">
        <v>1190</v>
      </c>
      <c r="D148" s="67" t="s">
        <v>1191</v>
      </c>
      <c r="E148" s="67" t="s">
        <v>1192</v>
      </c>
      <c r="F148" s="67" t="s">
        <v>1193</v>
      </c>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t="s">
        <v>1194</v>
      </c>
      <c r="B149" s="67" t="s">
        <v>1195</v>
      </c>
      <c r="C149" s="67" t="s">
        <v>1196</v>
      </c>
      <c r="D149" s="67" t="s">
        <v>1197</v>
      </c>
      <c r="E149" s="67" t="s">
        <v>1198</v>
      </c>
      <c r="F149" s="67" t="s">
        <v>1199</v>
      </c>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t="s">
        <v>1200</v>
      </c>
      <c r="B150" s="67" t="s">
        <v>1201</v>
      </c>
      <c r="C150" s="67" t="s">
        <v>1202</v>
      </c>
      <c r="D150" s="67" t="s">
        <v>1203</v>
      </c>
      <c r="E150" s="67" t="s">
        <v>1204</v>
      </c>
      <c r="F150" s="67" t="s">
        <v>1205</v>
      </c>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t="s">
        <v>1206</v>
      </c>
      <c r="B151" s="67" t="s">
        <v>904</v>
      </c>
      <c r="C151" s="67" t="s">
        <v>904</v>
      </c>
      <c r="D151" s="67" t="s">
        <v>904</v>
      </c>
      <c r="E151" s="67" t="s">
        <v>904</v>
      </c>
      <c r="F151" s="67" t="s">
        <v>904</v>
      </c>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t="s">
        <v>1207</v>
      </c>
      <c r="B152" s="67" t="s">
        <v>1208</v>
      </c>
      <c r="C152" s="67" t="s">
        <v>1209</v>
      </c>
      <c r="D152" s="67" t="s">
        <v>1210</v>
      </c>
      <c r="E152" s="67" t="s">
        <v>1211</v>
      </c>
      <c r="F152" s="67" t="s">
        <v>1212</v>
      </c>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t="s">
        <v>1213</v>
      </c>
      <c r="B153" s="67" t="s">
        <v>1214</v>
      </c>
      <c r="C153" s="67" t="s">
        <v>1215</v>
      </c>
      <c r="D153" s="67" t="s">
        <v>1216</v>
      </c>
      <c r="E153" s="67" t="s">
        <v>1217</v>
      </c>
      <c r="F153" s="67" t="s">
        <v>1218</v>
      </c>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t="s">
        <v>1219</v>
      </c>
      <c r="B154" s="67" t="s">
        <v>1220</v>
      </c>
      <c r="C154" s="67" t="s">
        <v>1221</v>
      </c>
      <c r="D154" s="67" t="s">
        <v>1222</v>
      </c>
      <c r="E154" s="67" t="s">
        <v>1223</v>
      </c>
      <c r="F154" s="67" t="s">
        <v>1224</v>
      </c>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t="s">
        <v>1225</v>
      </c>
      <c r="B155" s="67" t="s">
        <v>1226</v>
      </c>
      <c r="C155" s="67" t="s">
        <v>1227</v>
      </c>
      <c r="D155" s="67" t="s">
        <v>1228</v>
      </c>
      <c r="E155" s="67" t="s">
        <v>1226</v>
      </c>
      <c r="F155" s="67" t="s">
        <v>1229</v>
      </c>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t="s">
        <v>1230</v>
      </c>
      <c r="B156" s="67" t="s">
        <v>1231</v>
      </c>
      <c r="C156" s="67" t="s">
        <v>1232</v>
      </c>
      <c r="D156" s="67" t="s">
        <v>1233</v>
      </c>
      <c r="E156" s="67" t="s">
        <v>1234</v>
      </c>
      <c r="F156" s="67" t="s">
        <v>1235</v>
      </c>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t="s">
        <v>1236</v>
      </c>
      <c r="B157" s="67" t="s">
        <v>1237</v>
      </c>
      <c r="C157" s="67" t="s">
        <v>1237</v>
      </c>
      <c r="D157" s="67" t="s">
        <v>1237</v>
      </c>
      <c r="E157" s="67" t="s">
        <v>1237</v>
      </c>
      <c r="F157" s="67" t="s">
        <v>1237</v>
      </c>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t="s">
        <v>1238</v>
      </c>
      <c r="B158" s="67" t="s">
        <v>1239</v>
      </c>
      <c r="C158" s="67" t="s">
        <v>1240</v>
      </c>
      <c r="D158" s="67" t="s">
        <v>1241</v>
      </c>
      <c r="E158" s="67" t="s">
        <v>1242</v>
      </c>
      <c r="F158" s="67" t="s">
        <v>1243</v>
      </c>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t="s">
        <v>1244</v>
      </c>
      <c r="B159" s="67" t="s">
        <v>1245</v>
      </c>
      <c r="C159" s="67" t="s">
        <v>1246</v>
      </c>
      <c r="D159" s="67" t="s">
        <v>1247</v>
      </c>
      <c r="E159" s="67" t="s">
        <v>1248</v>
      </c>
      <c r="F159" s="67" t="s">
        <v>1249</v>
      </c>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t="s">
        <v>1250</v>
      </c>
      <c r="B160" s="67" t="s">
        <v>1251</v>
      </c>
      <c r="C160" s="67" t="s">
        <v>1252</v>
      </c>
      <c r="D160" s="67" t="s">
        <v>1253</v>
      </c>
      <c r="E160" s="67" t="s">
        <v>1254</v>
      </c>
      <c r="F160" s="67" t="s">
        <v>1255</v>
      </c>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t="s">
        <v>1256</v>
      </c>
      <c r="B161" s="67" t="s">
        <v>1257</v>
      </c>
      <c r="C161" s="67" t="s">
        <v>1258</v>
      </c>
      <c r="D161" s="67" t="s">
        <v>1259</v>
      </c>
      <c r="E161" s="67" t="s">
        <v>1260</v>
      </c>
      <c r="F161" s="67" t="s">
        <v>1261</v>
      </c>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t="s">
        <v>1262</v>
      </c>
      <c r="B162" s="67" t="s">
        <v>1263</v>
      </c>
      <c r="C162" s="67" t="s">
        <v>1264</v>
      </c>
      <c r="D162" s="67" t="s">
        <v>1265</v>
      </c>
      <c r="E162" s="67" t="s">
        <v>1266</v>
      </c>
      <c r="F162" s="67" t="s">
        <v>1267</v>
      </c>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t="s">
        <v>1268</v>
      </c>
      <c r="B163" s="67" t="s">
        <v>1269</v>
      </c>
      <c r="C163" s="67" t="s">
        <v>1270</v>
      </c>
      <c r="D163" s="67" t="s">
        <v>1271</v>
      </c>
      <c r="E163" s="67" t="s">
        <v>1272</v>
      </c>
      <c r="F163" s="67" t="s">
        <v>1270</v>
      </c>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t="s">
        <v>1273</v>
      </c>
      <c r="B164" s="67" t="s">
        <v>1274</v>
      </c>
      <c r="C164" s="67" t="s">
        <v>1275</v>
      </c>
      <c r="D164" s="67" t="s">
        <v>1276</v>
      </c>
      <c r="E164" s="67" t="s">
        <v>1277</v>
      </c>
      <c r="F164" s="67" t="s">
        <v>1278</v>
      </c>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t="s">
        <v>1279</v>
      </c>
      <c r="B165" s="67" t="s">
        <v>1280</v>
      </c>
      <c r="C165" s="67" t="s">
        <v>1281</v>
      </c>
      <c r="D165" s="67" t="s">
        <v>1282</v>
      </c>
      <c r="E165" s="67" t="s">
        <v>1283</v>
      </c>
      <c r="F165" s="67" t="s">
        <v>1284</v>
      </c>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t="s">
        <v>1285</v>
      </c>
      <c r="B166" s="67" t="s">
        <v>1286</v>
      </c>
      <c r="C166" s="67" t="s">
        <v>1287</v>
      </c>
      <c r="D166" s="67" t="s">
        <v>1288</v>
      </c>
      <c r="E166" s="67" t="s">
        <v>1289</v>
      </c>
      <c r="F166" s="67" t="s">
        <v>1290</v>
      </c>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t="s">
        <v>1291</v>
      </c>
      <c r="B167" s="67" t="s">
        <v>1292</v>
      </c>
      <c r="C167" s="67" t="s">
        <v>1293</v>
      </c>
      <c r="D167" s="67" t="s">
        <v>1294</v>
      </c>
      <c r="E167" s="67" t="s">
        <v>1295</v>
      </c>
      <c r="F167" s="67" t="s">
        <v>1296</v>
      </c>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t="s">
        <v>1297</v>
      </c>
      <c r="B168" s="67" t="s">
        <v>1298</v>
      </c>
      <c r="C168" s="67" t="s">
        <v>1299</v>
      </c>
      <c r="D168" s="67" t="s">
        <v>1300</v>
      </c>
      <c r="E168" s="67" t="s">
        <v>1301</v>
      </c>
      <c r="F168" s="67" t="s">
        <v>1302</v>
      </c>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t="s">
        <v>1303</v>
      </c>
      <c r="B169" s="67" t="s">
        <v>153</v>
      </c>
      <c r="C169" s="67" t="s">
        <v>1304</v>
      </c>
      <c r="D169" s="67" t="s">
        <v>1305</v>
      </c>
      <c r="E169" s="67" t="s">
        <v>1306</v>
      </c>
      <c r="F169" s="67" t="s">
        <v>1304</v>
      </c>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t="s">
        <v>1307</v>
      </c>
      <c r="B170" s="67" t="s">
        <v>84</v>
      </c>
      <c r="C170" s="67" t="s">
        <v>1308</v>
      </c>
      <c r="D170" s="67" t="s">
        <v>1309</v>
      </c>
      <c r="E170" s="67" t="s">
        <v>1310</v>
      </c>
      <c r="F170" s="67" t="s">
        <v>1311</v>
      </c>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t="s">
        <v>1312</v>
      </c>
      <c r="B171" s="67" t="s">
        <v>1313</v>
      </c>
      <c r="C171" s="67" t="s">
        <v>1314</v>
      </c>
      <c r="D171" s="67" t="s">
        <v>1315</v>
      </c>
      <c r="E171" s="67" t="s">
        <v>1316</v>
      </c>
      <c r="F171" s="67" t="s">
        <v>1317</v>
      </c>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t="s">
        <v>1318</v>
      </c>
      <c r="B172" s="67" t="s">
        <v>1319</v>
      </c>
      <c r="C172" s="67" t="s">
        <v>1320</v>
      </c>
      <c r="D172" s="67" t="s">
        <v>1321</v>
      </c>
      <c r="E172" s="67" t="s">
        <v>1322</v>
      </c>
      <c r="F172" s="67" t="s">
        <v>1320</v>
      </c>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t="s">
        <v>1323</v>
      </c>
      <c r="B173" s="67" t="s">
        <v>88</v>
      </c>
      <c r="C173" s="67" t="s">
        <v>88</v>
      </c>
      <c r="D173" s="67" t="s">
        <v>1324</v>
      </c>
      <c r="E173" s="67" t="s">
        <v>1324</v>
      </c>
      <c r="F173" s="67" t="s">
        <v>88</v>
      </c>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t="s">
        <v>1325</v>
      </c>
      <c r="B174" s="67" t="s">
        <v>1326</v>
      </c>
      <c r="C174" s="67" t="s">
        <v>1327</v>
      </c>
      <c r="D174" s="67" t="s">
        <v>1328</v>
      </c>
      <c r="E174" s="67" t="s">
        <v>1329</v>
      </c>
      <c r="F174" s="67" t="s">
        <v>1330</v>
      </c>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t="s">
        <v>1331</v>
      </c>
      <c r="B175" s="67" t="s">
        <v>1332</v>
      </c>
      <c r="C175" s="67" t="s">
        <v>1333</v>
      </c>
      <c r="D175" s="67" t="s">
        <v>1334</v>
      </c>
      <c r="E175" s="67" t="s">
        <v>1335</v>
      </c>
      <c r="F175" s="67" t="s">
        <v>1336</v>
      </c>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t="s">
        <v>1337</v>
      </c>
      <c r="B176" s="67" t="s">
        <v>1338</v>
      </c>
      <c r="C176" s="67" t="s">
        <v>1338</v>
      </c>
      <c r="D176" s="67" t="s">
        <v>1338</v>
      </c>
      <c r="E176" s="67" t="s">
        <v>1338</v>
      </c>
      <c r="F176" s="67" t="s">
        <v>1338</v>
      </c>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t="s">
        <v>1339</v>
      </c>
      <c r="B177" s="67" t="s">
        <v>1340</v>
      </c>
      <c r="C177" s="67" t="s">
        <v>1341</v>
      </c>
      <c r="D177" s="67" t="s">
        <v>1342</v>
      </c>
      <c r="E177" s="67" t="s">
        <v>1343</v>
      </c>
      <c r="F177" s="67" t="s">
        <v>1344</v>
      </c>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t="s">
        <v>1345</v>
      </c>
      <c r="B178" s="67" t="s">
        <v>1346</v>
      </c>
      <c r="C178" s="67" t="s">
        <v>1347</v>
      </c>
      <c r="D178" s="67" t="s">
        <v>1348</v>
      </c>
      <c r="E178" s="67" t="s">
        <v>1349</v>
      </c>
      <c r="F178" s="67" t="s">
        <v>1350</v>
      </c>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t="s">
        <v>1351</v>
      </c>
      <c r="B179" s="67" t="s">
        <v>1352</v>
      </c>
      <c r="C179" s="67" t="s">
        <v>1353</v>
      </c>
      <c r="D179" s="67" t="s">
        <v>1354</v>
      </c>
      <c r="E179" s="67" t="s">
        <v>1355</v>
      </c>
      <c r="F179" s="67" t="s">
        <v>1356</v>
      </c>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t="s">
        <v>1357</v>
      </c>
      <c r="B180" s="67" t="s">
        <v>1358</v>
      </c>
      <c r="C180" s="67" t="s">
        <v>1359</v>
      </c>
      <c r="D180" s="67" t="s">
        <v>1358</v>
      </c>
      <c r="E180" s="67" t="s">
        <v>1360</v>
      </c>
      <c r="F180" s="67" t="s">
        <v>1361</v>
      </c>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t="s">
        <v>1362</v>
      </c>
      <c r="B181" s="67" t="s">
        <v>1363</v>
      </c>
      <c r="C181" s="67" t="s">
        <v>1364</v>
      </c>
      <c r="D181" s="67" t="s">
        <v>1365</v>
      </c>
      <c r="E181" s="67" t="s">
        <v>1366</v>
      </c>
      <c r="F181" s="67" t="s">
        <v>1367</v>
      </c>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t="s">
        <v>1368</v>
      </c>
      <c r="B182" s="67" t="s">
        <v>1369</v>
      </c>
      <c r="C182" s="67" t="s">
        <v>1370</v>
      </c>
      <c r="D182" s="67" t="s">
        <v>1371</v>
      </c>
      <c r="E182" s="67" t="s">
        <v>1372</v>
      </c>
      <c r="F182" s="67" t="s">
        <v>1373</v>
      </c>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t="s">
        <v>1374</v>
      </c>
      <c r="B183" s="67" t="s">
        <v>1375</v>
      </c>
      <c r="C183" s="67" t="s">
        <v>1376</v>
      </c>
      <c r="D183" s="67" t="s">
        <v>1377</v>
      </c>
      <c r="E183" s="67" t="s">
        <v>1378</v>
      </c>
      <c r="F183" s="67" t="s">
        <v>1379</v>
      </c>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t="s">
        <v>1380</v>
      </c>
      <c r="B184" s="67" t="s">
        <v>1381</v>
      </c>
      <c r="C184" s="67" t="s">
        <v>1382</v>
      </c>
      <c r="D184" s="67" t="s">
        <v>1383</v>
      </c>
      <c r="E184" s="67" t="s">
        <v>1384</v>
      </c>
      <c r="F184" s="67" t="s">
        <v>1385</v>
      </c>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ht="15.75" customHeight="1">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ht="15.75" customHeight="1">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row>
    <row r="1003" spans="1:26" ht="15.75" customHeight="1">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row>
    <row r="1004" spans="1:26" ht="15.75" customHeight="1">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row>
    <row r="1005" spans="1:26" ht="15.75" customHeight="1">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8C8C8"/>
  </sheetPr>
  <dimension ref="A1:Z1000"/>
  <sheetViews>
    <sheetView zoomScaleNormal="100" workbookViewId="0">
      <selection sqref="A1:XFD1048576"/>
    </sheetView>
  </sheetViews>
  <sheetFormatPr baseColWidth="10" defaultColWidth="11.28515625" defaultRowHeight="15" customHeight="1"/>
  <cols>
    <col min="1" max="26" width="8.5703125" style="104" customWidth="1"/>
    <col min="27" max="33" width="11.28515625" style="104" customWidth="1"/>
    <col min="34" max="16384" width="11.28515625" style="104"/>
  </cols>
  <sheetData>
    <row r="1" spans="1:26" ht="15" customHeight="1">
      <c r="A1" s="67" t="s">
        <v>347</v>
      </c>
      <c r="B1" s="67" t="s">
        <v>1386</v>
      </c>
      <c r="C1" s="67" t="s">
        <v>1387</v>
      </c>
      <c r="D1" s="67" t="s">
        <v>1388</v>
      </c>
      <c r="E1" s="67"/>
      <c r="F1" s="67"/>
      <c r="G1" s="67"/>
      <c r="H1" s="67"/>
      <c r="I1" s="67"/>
      <c r="J1" s="67"/>
      <c r="K1" s="67"/>
      <c r="L1" s="67"/>
      <c r="M1" s="67"/>
      <c r="N1" s="67"/>
      <c r="O1" s="67"/>
      <c r="P1" s="67"/>
      <c r="Q1" s="67"/>
      <c r="R1" s="67"/>
      <c r="S1" s="67"/>
      <c r="T1" s="67"/>
      <c r="U1" s="67"/>
      <c r="V1" s="67"/>
      <c r="W1" s="67"/>
      <c r="X1" s="67"/>
      <c r="Y1" s="67"/>
      <c r="Z1" s="67"/>
    </row>
    <row r="2" spans="1:26" ht="15" customHeight="1">
      <c r="A2" s="67" t="s">
        <v>10</v>
      </c>
      <c r="B2" s="67" t="s">
        <v>1389</v>
      </c>
      <c r="C2" s="67" t="s">
        <v>1390</v>
      </c>
      <c r="D2" s="67">
        <v>87000</v>
      </c>
      <c r="E2" s="67"/>
      <c r="F2" s="67"/>
      <c r="G2" s="67"/>
      <c r="H2" s="67"/>
      <c r="I2" s="67"/>
      <c r="J2" s="67"/>
      <c r="K2" s="67"/>
      <c r="L2" s="67"/>
      <c r="M2" s="67"/>
      <c r="N2" s="67"/>
      <c r="O2" s="67"/>
      <c r="P2" s="67"/>
      <c r="Q2" s="67"/>
      <c r="R2" s="67"/>
      <c r="S2" s="67"/>
      <c r="T2" s="67"/>
      <c r="U2" s="67"/>
      <c r="V2" s="67"/>
      <c r="W2" s="67"/>
      <c r="X2" s="67"/>
      <c r="Y2" s="67"/>
      <c r="Z2" s="67"/>
    </row>
    <row r="3" spans="1:26" ht="15" customHeight="1">
      <c r="A3" s="67" t="s">
        <v>13</v>
      </c>
      <c r="B3" s="67" t="s">
        <v>1391</v>
      </c>
      <c r="C3" s="67" t="s">
        <v>1390</v>
      </c>
      <c r="D3" s="67">
        <v>48071</v>
      </c>
      <c r="E3" s="67"/>
      <c r="F3" s="67"/>
      <c r="G3" s="67"/>
      <c r="H3" s="67"/>
      <c r="I3" s="67"/>
      <c r="J3" s="67"/>
      <c r="K3" s="67"/>
      <c r="L3" s="67"/>
      <c r="M3" s="67"/>
      <c r="N3" s="67"/>
      <c r="O3" s="67"/>
      <c r="P3" s="67"/>
      <c r="Q3" s="67"/>
      <c r="R3" s="67"/>
      <c r="S3" s="67"/>
      <c r="T3" s="67"/>
      <c r="U3" s="67"/>
      <c r="V3" s="67"/>
      <c r="W3" s="67"/>
      <c r="X3" s="67"/>
      <c r="Y3" s="67"/>
      <c r="Z3" s="67"/>
    </row>
    <row r="4" spans="1:26" ht="15" customHeight="1">
      <c r="A4" s="67" t="s">
        <v>48</v>
      </c>
      <c r="B4" s="67" t="s">
        <v>1392</v>
      </c>
      <c r="C4" s="67" t="s">
        <v>1390</v>
      </c>
      <c r="D4" s="67">
        <v>53500</v>
      </c>
      <c r="E4" s="67"/>
      <c r="F4" s="67"/>
      <c r="G4" s="67"/>
      <c r="H4" s="67"/>
      <c r="I4" s="67"/>
      <c r="J4" s="67"/>
      <c r="K4" s="67"/>
      <c r="L4" s="67"/>
      <c r="M4" s="67"/>
      <c r="N4" s="67"/>
      <c r="O4" s="67"/>
      <c r="P4" s="67"/>
      <c r="Q4" s="67"/>
      <c r="R4" s="67"/>
      <c r="S4" s="67"/>
      <c r="T4" s="67"/>
      <c r="U4" s="67"/>
      <c r="V4" s="67"/>
      <c r="W4" s="67"/>
      <c r="X4" s="67"/>
      <c r="Y4" s="67"/>
      <c r="Z4" s="67"/>
    </row>
    <row r="5" spans="1:26" ht="15" customHeight="1">
      <c r="A5" s="67" t="s">
        <v>17</v>
      </c>
      <c r="B5" s="67" t="s">
        <v>1393</v>
      </c>
      <c r="C5" s="67" t="s">
        <v>1394</v>
      </c>
      <c r="D5" s="67">
        <v>45736</v>
      </c>
      <c r="E5" s="67"/>
      <c r="F5" s="67"/>
      <c r="G5" s="67"/>
      <c r="H5" s="67"/>
      <c r="I5" s="67"/>
      <c r="J5" s="67"/>
      <c r="K5" s="67"/>
      <c r="L5" s="67"/>
      <c r="M5" s="67"/>
      <c r="N5" s="67"/>
      <c r="O5" s="67"/>
      <c r="P5" s="67"/>
      <c r="Q5" s="67"/>
      <c r="R5" s="67"/>
      <c r="S5" s="67"/>
      <c r="T5" s="67"/>
      <c r="U5" s="67"/>
      <c r="V5" s="67"/>
      <c r="W5" s="67"/>
      <c r="X5" s="67"/>
      <c r="Y5" s="67"/>
      <c r="Z5" s="67"/>
    </row>
    <row r="6" spans="1:26" ht="15" customHeight="1">
      <c r="A6" s="67" t="s">
        <v>34</v>
      </c>
      <c r="B6" s="67" t="s">
        <v>1395</v>
      </c>
      <c r="C6" s="67" t="s">
        <v>1394</v>
      </c>
      <c r="D6" s="67">
        <v>54500</v>
      </c>
      <c r="E6" s="67"/>
      <c r="F6" s="67"/>
      <c r="G6" s="67"/>
      <c r="H6" s="67"/>
      <c r="I6" s="67"/>
      <c r="J6" s="67"/>
      <c r="K6" s="67"/>
      <c r="L6" s="67"/>
      <c r="M6" s="67"/>
      <c r="N6" s="67"/>
      <c r="O6" s="67"/>
      <c r="P6" s="67"/>
      <c r="Q6" s="67"/>
      <c r="R6" s="67"/>
      <c r="S6" s="67"/>
      <c r="T6" s="67"/>
      <c r="U6" s="67"/>
      <c r="V6" s="67"/>
      <c r="W6" s="67"/>
      <c r="X6" s="67"/>
      <c r="Y6" s="67"/>
      <c r="Z6" s="67"/>
    </row>
    <row r="7" spans="1:26" ht="15" customHeight="1">
      <c r="A7" s="67" t="s">
        <v>42</v>
      </c>
      <c r="B7" s="67" t="s">
        <v>1396</v>
      </c>
      <c r="C7" s="67" t="s">
        <v>1397</v>
      </c>
      <c r="D7" s="67">
        <v>92967</v>
      </c>
      <c r="E7" s="67"/>
      <c r="F7" s="67"/>
      <c r="G7" s="67"/>
      <c r="H7" s="67"/>
      <c r="I7" s="67"/>
      <c r="J7" s="67"/>
      <c r="K7" s="67"/>
      <c r="L7" s="67"/>
      <c r="M7" s="67"/>
      <c r="N7" s="67"/>
      <c r="O7" s="67"/>
      <c r="P7" s="67"/>
      <c r="Q7" s="67"/>
      <c r="R7" s="67"/>
      <c r="S7" s="67"/>
      <c r="T7" s="67"/>
      <c r="U7" s="67"/>
      <c r="V7" s="67"/>
      <c r="W7" s="67"/>
      <c r="X7" s="67"/>
      <c r="Y7" s="67"/>
      <c r="Z7" s="67"/>
    </row>
    <row r="8" spans="1:26" ht="15" customHeight="1">
      <c r="A8" s="67" t="s">
        <v>52</v>
      </c>
      <c r="B8" s="67" t="s">
        <v>1398</v>
      </c>
      <c r="C8" s="67" t="s">
        <v>1397</v>
      </c>
      <c r="D8" s="67">
        <v>71000</v>
      </c>
      <c r="E8" s="67"/>
      <c r="F8" s="67"/>
      <c r="G8" s="67"/>
      <c r="H8" s="67"/>
      <c r="I8" s="67"/>
      <c r="J8" s="67"/>
      <c r="K8" s="67"/>
      <c r="L8" s="67"/>
      <c r="M8" s="67"/>
      <c r="N8" s="67"/>
      <c r="O8" s="67"/>
      <c r="P8" s="67"/>
      <c r="Q8" s="67"/>
      <c r="R8" s="67"/>
      <c r="S8" s="67"/>
      <c r="T8" s="67"/>
      <c r="U8" s="67"/>
      <c r="V8" s="67"/>
      <c r="W8" s="67"/>
      <c r="X8" s="67"/>
      <c r="Y8" s="67"/>
      <c r="Z8" s="67"/>
    </row>
    <row r="9" spans="1:26" ht="15" customHeight="1">
      <c r="A9" s="67" t="s">
        <v>31</v>
      </c>
      <c r="B9" s="67" t="s">
        <v>1399</v>
      </c>
      <c r="C9" s="67" t="s">
        <v>1397</v>
      </c>
      <c r="D9" s="67">
        <v>64628</v>
      </c>
      <c r="E9" s="67"/>
      <c r="F9" s="67"/>
      <c r="G9" s="67"/>
      <c r="H9" s="67"/>
      <c r="I9" s="67"/>
      <c r="J9" s="67"/>
      <c r="K9" s="67"/>
      <c r="L9" s="67"/>
      <c r="M9" s="67"/>
      <c r="N9" s="67"/>
      <c r="O9" s="67"/>
      <c r="P9" s="67"/>
      <c r="Q9" s="67"/>
      <c r="R9" s="67"/>
      <c r="S9" s="67"/>
      <c r="T9" s="67"/>
      <c r="U9" s="67"/>
      <c r="V9" s="67"/>
      <c r="W9" s="67"/>
      <c r="X9" s="67"/>
      <c r="Y9" s="67"/>
      <c r="Z9" s="67"/>
    </row>
    <row r="10" spans="1:26" ht="15" customHeight="1">
      <c r="A10" s="67" t="s">
        <v>38</v>
      </c>
      <c r="B10" s="67" t="s">
        <v>1400</v>
      </c>
      <c r="C10" s="67" t="s">
        <v>1397</v>
      </c>
      <c r="D10" s="67">
        <v>72220</v>
      </c>
      <c r="E10" s="67"/>
      <c r="F10" s="67"/>
      <c r="G10" s="67"/>
      <c r="H10" s="67"/>
      <c r="I10" s="67"/>
      <c r="J10" s="67"/>
      <c r="K10" s="67"/>
      <c r="L10" s="67"/>
      <c r="M10" s="67"/>
      <c r="N10" s="67"/>
      <c r="O10" s="67"/>
      <c r="P10" s="67"/>
      <c r="Q10" s="67"/>
      <c r="R10" s="67"/>
      <c r="S10" s="67"/>
      <c r="T10" s="67"/>
      <c r="U10" s="67"/>
      <c r="V10" s="67"/>
      <c r="W10" s="67"/>
      <c r="X10" s="67"/>
      <c r="Y10" s="67"/>
      <c r="Z10" s="67"/>
    </row>
    <row r="11" spans="1:26" ht="15" customHeight="1">
      <c r="A11" s="67" t="s">
        <v>70</v>
      </c>
      <c r="B11" s="67" t="s">
        <v>1401</v>
      </c>
      <c r="C11" s="67" t="s">
        <v>1397</v>
      </c>
      <c r="D11" s="67">
        <v>76416</v>
      </c>
      <c r="E11" s="67"/>
      <c r="F11" s="67"/>
      <c r="G11" s="67"/>
      <c r="H11" s="67"/>
      <c r="I11" s="67"/>
      <c r="J11" s="67"/>
      <c r="K11" s="67"/>
      <c r="L11" s="67"/>
      <c r="M11" s="67"/>
      <c r="N11" s="67"/>
      <c r="O11" s="67"/>
      <c r="P11" s="67"/>
      <c r="Q11" s="67"/>
      <c r="R11" s="67"/>
      <c r="S11" s="67"/>
      <c r="T11" s="67"/>
      <c r="U11" s="67"/>
      <c r="V11" s="67"/>
      <c r="W11" s="67"/>
      <c r="X11" s="67"/>
      <c r="Y11" s="67"/>
      <c r="Z11" s="67"/>
    </row>
    <row r="12" spans="1:26" ht="15" customHeight="1">
      <c r="A12" s="67" t="s">
        <v>21</v>
      </c>
      <c r="B12" s="67" t="s">
        <v>1402</v>
      </c>
      <c r="C12" s="67" t="s">
        <v>1397</v>
      </c>
      <c r="D12" s="67">
        <v>70240</v>
      </c>
      <c r="E12" s="67"/>
      <c r="F12" s="67"/>
      <c r="G12" s="67"/>
      <c r="H12" s="67"/>
      <c r="I12" s="67"/>
      <c r="J12" s="67"/>
      <c r="K12" s="67"/>
      <c r="L12" s="67"/>
      <c r="M12" s="67"/>
      <c r="N12" s="67"/>
      <c r="O12" s="67"/>
      <c r="P12" s="67"/>
      <c r="Q12" s="67"/>
      <c r="R12" s="67"/>
      <c r="S12" s="67"/>
      <c r="T12" s="67"/>
      <c r="U12" s="67"/>
      <c r="V12" s="67"/>
      <c r="W12" s="67"/>
      <c r="X12" s="67"/>
      <c r="Y12" s="67"/>
      <c r="Z12" s="67"/>
    </row>
    <row r="13" spans="1:26" ht="15" customHeight="1">
      <c r="A13" s="67" t="s">
        <v>59</v>
      </c>
      <c r="B13" s="67" t="s">
        <v>1403</v>
      </c>
      <c r="C13" s="67" t="s">
        <v>1397</v>
      </c>
      <c r="D13" s="67">
        <v>65326</v>
      </c>
      <c r="E13" s="67"/>
      <c r="F13" s="67"/>
      <c r="G13" s="67"/>
      <c r="H13" s="67"/>
      <c r="I13" s="67"/>
      <c r="J13" s="67"/>
      <c r="K13" s="67"/>
      <c r="L13" s="67"/>
      <c r="M13" s="67"/>
      <c r="N13" s="67"/>
      <c r="O13" s="67"/>
      <c r="P13" s="67"/>
      <c r="Q13" s="67"/>
      <c r="R13" s="67"/>
      <c r="S13" s="67"/>
      <c r="T13" s="67"/>
      <c r="U13" s="67"/>
      <c r="V13" s="67"/>
      <c r="W13" s="67"/>
      <c r="X13" s="67"/>
      <c r="Y13" s="67"/>
      <c r="Z13" s="67"/>
    </row>
    <row r="14" spans="1:26" ht="15" customHeight="1">
      <c r="A14" s="67" t="s">
        <v>28</v>
      </c>
      <c r="B14" s="67" t="s">
        <v>1404</v>
      </c>
      <c r="C14" s="67" t="s">
        <v>1397</v>
      </c>
      <c r="D14" s="67">
        <v>82500</v>
      </c>
      <c r="E14" s="67"/>
      <c r="F14" s="67"/>
      <c r="G14" s="67"/>
      <c r="H14" s="67"/>
      <c r="I14" s="67"/>
      <c r="J14" s="67"/>
      <c r="K14" s="67"/>
      <c r="L14" s="67"/>
      <c r="M14" s="67"/>
      <c r="N14" s="67"/>
      <c r="O14" s="67"/>
      <c r="P14" s="67"/>
      <c r="Q14" s="67"/>
      <c r="R14" s="67"/>
      <c r="S14" s="67"/>
      <c r="T14" s="67"/>
      <c r="U14" s="67"/>
      <c r="V14" s="67"/>
      <c r="W14" s="67"/>
      <c r="X14" s="67"/>
      <c r="Y14" s="67"/>
      <c r="Z14" s="67"/>
    </row>
    <row r="15" spans="1:26" ht="15" customHeight="1">
      <c r="A15" s="67" t="s">
        <v>45</v>
      </c>
      <c r="B15" s="67" t="s">
        <v>1405</v>
      </c>
      <c r="C15" s="67" t="s">
        <v>1397</v>
      </c>
      <c r="D15" s="67">
        <v>69176</v>
      </c>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24</v>
      </c>
      <c r="B16" s="67" t="s">
        <v>1406</v>
      </c>
      <c r="C16" s="67" t="s">
        <v>1397</v>
      </c>
      <c r="D16" s="67">
        <v>70909</v>
      </c>
      <c r="E16" s="67"/>
      <c r="F16" s="67"/>
      <c r="G16" s="67"/>
      <c r="H16" s="67"/>
      <c r="I16" s="67"/>
      <c r="J16" s="67"/>
      <c r="K16" s="67"/>
      <c r="L16" s="67"/>
      <c r="M16" s="67"/>
      <c r="N16" s="67"/>
      <c r="O16" s="67"/>
      <c r="P16" s="67"/>
      <c r="Q16" s="67"/>
      <c r="R16" s="67"/>
      <c r="S16" s="67"/>
      <c r="T16" s="67"/>
      <c r="U16" s="67"/>
      <c r="V16" s="67"/>
      <c r="W16" s="67"/>
      <c r="X16" s="67"/>
      <c r="Y16" s="67"/>
      <c r="Z16" s="67"/>
    </row>
    <row r="17" spans="1:26" ht="15" customHeight="1">
      <c r="A17" s="67" t="s">
        <v>56</v>
      </c>
      <c r="B17" s="67" t="s">
        <v>1407</v>
      </c>
      <c r="C17" s="67" t="s">
        <v>1397</v>
      </c>
      <c r="D17" s="67">
        <v>68740</v>
      </c>
      <c r="E17" s="67"/>
      <c r="F17" s="67"/>
      <c r="G17" s="67"/>
      <c r="H17" s="67"/>
      <c r="I17" s="67"/>
      <c r="J17" s="67"/>
      <c r="K17" s="67"/>
      <c r="L17" s="67"/>
      <c r="M17" s="67"/>
      <c r="N17" s="67"/>
      <c r="O17" s="67"/>
      <c r="P17" s="67"/>
      <c r="Q17" s="67"/>
      <c r="R17" s="67"/>
      <c r="S17" s="67"/>
      <c r="T17" s="67"/>
      <c r="U17" s="67"/>
      <c r="V17" s="67"/>
      <c r="W17" s="67"/>
      <c r="X17" s="67"/>
      <c r="Y17" s="67"/>
      <c r="Z17" s="67"/>
    </row>
    <row r="18" spans="1:26" ht="15" customHeight="1">
      <c r="A18" s="67"/>
      <c r="B18" s="67"/>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5" customHeight="1">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5" customHeight="1">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67"/>
      <c r="B33" s="67"/>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8C8C8"/>
  </sheetPr>
  <dimension ref="A1:Z1000"/>
  <sheetViews>
    <sheetView zoomScaleNormal="100" workbookViewId="0">
      <selection sqref="A1:XFD1048576"/>
    </sheetView>
  </sheetViews>
  <sheetFormatPr baseColWidth="10" defaultColWidth="11.28515625" defaultRowHeight="15" customHeight="1"/>
  <cols>
    <col min="1" max="1" width="18.28515625" customWidth="1"/>
    <col min="2" max="26" width="8.5703125" customWidth="1"/>
  </cols>
  <sheetData>
    <row r="1" spans="1:26" ht="15" customHeight="1">
      <c r="A1" s="67" t="s">
        <v>1408</v>
      </c>
      <c r="B1" s="67" t="s">
        <v>1409</v>
      </c>
      <c r="C1" s="67"/>
      <c r="D1" s="67"/>
      <c r="E1" s="67"/>
      <c r="F1" s="67"/>
      <c r="G1" s="67"/>
      <c r="H1" s="67"/>
      <c r="I1" s="67"/>
      <c r="J1" s="67"/>
      <c r="K1" s="67"/>
      <c r="L1" s="67"/>
      <c r="M1" s="67"/>
      <c r="N1" s="67"/>
      <c r="O1" s="67"/>
      <c r="P1" s="67"/>
      <c r="Q1" s="67"/>
      <c r="R1" s="67"/>
      <c r="S1" s="67"/>
      <c r="T1" s="67"/>
      <c r="U1" s="67"/>
      <c r="V1" s="67"/>
      <c r="W1" s="67"/>
      <c r="X1" s="67"/>
      <c r="Y1" s="67"/>
      <c r="Z1" s="67"/>
    </row>
    <row r="2" spans="1:26" ht="15" customHeight="1">
      <c r="A2" s="67" t="s">
        <v>8</v>
      </c>
      <c r="B2" s="67" t="s">
        <v>1410</v>
      </c>
      <c r="C2" s="67"/>
      <c r="D2" s="67"/>
      <c r="E2" s="67"/>
      <c r="F2" s="67"/>
      <c r="G2" s="67"/>
      <c r="H2" s="67"/>
      <c r="I2" s="67"/>
      <c r="J2" s="67"/>
      <c r="K2" s="67"/>
      <c r="L2" s="67"/>
      <c r="M2" s="67"/>
      <c r="N2" s="67"/>
      <c r="O2" s="67"/>
      <c r="P2" s="67"/>
      <c r="Q2" s="67"/>
      <c r="R2" s="67"/>
      <c r="S2" s="67"/>
      <c r="T2" s="67"/>
      <c r="U2" s="67"/>
      <c r="V2" s="67"/>
      <c r="W2" s="67"/>
      <c r="X2" s="67"/>
      <c r="Y2" s="67"/>
      <c r="Z2" s="67"/>
    </row>
    <row r="3" spans="1:26" ht="15" customHeight="1">
      <c r="A3" s="67" t="s">
        <v>9</v>
      </c>
      <c r="B3" s="67" t="s">
        <v>1411</v>
      </c>
      <c r="C3" s="67"/>
      <c r="D3" s="67"/>
      <c r="E3" s="67"/>
      <c r="F3" s="67"/>
      <c r="G3" s="67"/>
      <c r="H3" s="67"/>
      <c r="I3" s="67"/>
      <c r="J3" s="67"/>
      <c r="K3" s="67"/>
      <c r="L3" s="67"/>
      <c r="M3" s="67"/>
      <c r="N3" s="67"/>
      <c r="O3" s="67"/>
      <c r="P3" s="67"/>
      <c r="Q3" s="67"/>
      <c r="R3" s="67"/>
      <c r="S3" s="67"/>
      <c r="T3" s="67"/>
      <c r="U3" s="67"/>
      <c r="V3" s="67"/>
      <c r="W3" s="67"/>
      <c r="X3" s="67"/>
      <c r="Y3" s="67"/>
      <c r="Z3" s="67"/>
    </row>
    <row r="4" spans="1:26" ht="15" customHeight="1">
      <c r="A4" s="67" t="s">
        <v>11</v>
      </c>
      <c r="B4" s="67" t="s">
        <v>1412</v>
      </c>
      <c r="C4" s="67"/>
      <c r="D4" s="67"/>
      <c r="E4" s="67"/>
      <c r="F4" s="67"/>
      <c r="G4" s="67"/>
      <c r="H4" s="67"/>
      <c r="I4" s="67"/>
      <c r="J4" s="67"/>
      <c r="K4" s="67"/>
      <c r="L4" s="67"/>
      <c r="M4" s="67"/>
      <c r="N4" s="67"/>
      <c r="O4" s="67"/>
      <c r="P4" s="67"/>
      <c r="Q4" s="67"/>
      <c r="R4" s="67"/>
      <c r="S4" s="67"/>
      <c r="T4" s="67"/>
      <c r="U4" s="67"/>
      <c r="V4" s="67"/>
      <c r="W4" s="67"/>
      <c r="X4" s="67"/>
      <c r="Y4" s="67"/>
      <c r="Z4" s="67"/>
    </row>
    <row r="5" spans="1:26" ht="15" customHeight="1">
      <c r="A5" s="67" t="s">
        <v>12</v>
      </c>
      <c r="B5" s="67" t="s">
        <v>1413</v>
      </c>
      <c r="C5" s="67"/>
      <c r="D5" s="67"/>
      <c r="E5" s="67"/>
      <c r="F5" s="67"/>
      <c r="G5" s="67"/>
      <c r="H5" s="67"/>
      <c r="I5" s="67"/>
      <c r="J5" s="67"/>
      <c r="K5" s="67"/>
      <c r="L5" s="67"/>
      <c r="M5" s="67"/>
      <c r="N5" s="67"/>
      <c r="O5" s="67"/>
      <c r="P5" s="67"/>
      <c r="Q5" s="67"/>
      <c r="R5" s="67"/>
      <c r="S5" s="67"/>
      <c r="T5" s="67"/>
      <c r="U5" s="67"/>
      <c r="V5" s="67"/>
      <c r="W5" s="67"/>
      <c r="X5" s="67"/>
      <c r="Y5" s="67"/>
      <c r="Z5" s="67"/>
    </row>
    <row r="6" spans="1:26" ht="15" customHeight="1">
      <c r="A6" s="67" t="s">
        <v>15</v>
      </c>
      <c r="B6" s="67" t="s">
        <v>1414</v>
      </c>
      <c r="C6" s="67"/>
      <c r="D6" s="67"/>
      <c r="E6" s="67"/>
      <c r="F6" s="67"/>
      <c r="G6" s="67"/>
      <c r="H6" s="67"/>
      <c r="I6" s="67"/>
      <c r="J6" s="67"/>
      <c r="K6" s="67"/>
      <c r="L6" s="67"/>
      <c r="M6" s="67"/>
      <c r="N6" s="67"/>
      <c r="O6" s="67"/>
      <c r="P6" s="67"/>
      <c r="Q6" s="67"/>
      <c r="R6" s="67"/>
      <c r="S6" s="67"/>
      <c r="T6" s="67"/>
      <c r="U6" s="67"/>
      <c r="V6" s="67"/>
      <c r="W6" s="67"/>
      <c r="X6" s="67"/>
      <c r="Y6" s="67"/>
      <c r="Z6" s="67"/>
    </row>
    <row r="7" spans="1:26" ht="15" customHeight="1">
      <c r="A7" s="67" t="s">
        <v>16</v>
      </c>
      <c r="B7" s="67" t="s">
        <v>1415</v>
      </c>
      <c r="C7" s="67"/>
      <c r="D7" s="67"/>
      <c r="E7" s="67"/>
      <c r="F7" s="67"/>
      <c r="G7" s="67"/>
      <c r="H7" s="67"/>
      <c r="I7" s="67"/>
      <c r="J7" s="67"/>
      <c r="K7" s="67"/>
      <c r="L7" s="67"/>
      <c r="M7" s="67"/>
      <c r="N7" s="67"/>
      <c r="O7" s="67"/>
      <c r="P7" s="67"/>
      <c r="Q7" s="67"/>
      <c r="R7" s="67"/>
      <c r="S7" s="67"/>
      <c r="T7" s="67"/>
      <c r="U7" s="67"/>
      <c r="V7" s="67"/>
      <c r="W7" s="67"/>
      <c r="X7" s="67"/>
      <c r="Y7" s="67"/>
      <c r="Z7" s="67"/>
    </row>
    <row r="8" spans="1:26" ht="15" customHeight="1">
      <c r="A8" s="67" t="s">
        <v>22</v>
      </c>
      <c r="B8" s="67" t="s">
        <v>1416</v>
      </c>
      <c r="C8" s="67"/>
      <c r="D8" s="67"/>
      <c r="E8" s="67"/>
      <c r="F8" s="67"/>
      <c r="G8" s="67"/>
      <c r="H8" s="67"/>
      <c r="I8" s="67"/>
      <c r="J8" s="67"/>
      <c r="K8" s="67"/>
      <c r="L8" s="67"/>
      <c r="M8" s="67"/>
      <c r="N8" s="67"/>
      <c r="O8" s="67"/>
      <c r="P8" s="67"/>
      <c r="Q8" s="67"/>
      <c r="R8" s="67"/>
      <c r="S8" s="67"/>
      <c r="T8" s="67"/>
      <c r="U8" s="67"/>
      <c r="V8" s="67"/>
      <c r="W8" s="67"/>
      <c r="X8" s="67"/>
      <c r="Y8" s="67"/>
      <c r="Z8" s="67"/>
    </row>
    <row r="9" spans="1:26" ht="15" customHeight="1">
      <c r="A9" s="67" t="s">
        <v>23</v>
      </c>
      <c r="B9" s="67" t="s">
        <v>1417</v>
      </c>
      <c r="C9" s="67"/>
      <c r="D9" s="67"/>
      <c r="E9" s="67"/>
      <c r="F9" s="67"/>
      <c r="G9" s="67"/>
      <c r="H9" s="67"/>
      <c r="I9" s="67"/>
      <c r="J9" s="67"/>
      <c r="K9" s="67"/>
      <c r="L9" s="67"/>
      <c r="M9" s="67"/>
      <c r="N9" s="67"/>
      <c r="O9" s="67"/>
      <c r="P9" s="67"/>
      <c r="Q9" s="67"/>
      <c r="R9" s="67"/>
      <c r="S9" s="67"/>
      <c r="T9" s="67"/>
      <c r="U9" s="67"/>
      <c r="V9" s="67"/>
      <c r="W9" s="67"/>
      <c r="X9" s="67"/>
      <c r="Y9" s="67"/>
      <c r="Z9" s="67"/>
    </row>
    <row r="10" spans="1:26" ht="15" customHeight="1">
      <c r="A10" s="67" t="s">
        <v>26</v>
      </c>
      <c r="B10" s="67" t="s">
        <v>1418</v>
      </c>
      <c r="C10" s="67"/>
      <c r="D10" s="67"/>
      <c r="E10" s="67"/>
      <c r="F10" s="67"/>
      <c r="G10" s="67"/>
      <c r="H10" s="67"/>
      <c r="I10" s="67"/>
      <c r="J10" s="67"/>
      <c r="K10" s="67"/>
      <c r="L10" s="67"/>
      <c r="M10" s="67"/>
      <c r="N10" s="67"/>
      <c r="O10" s="67"/>
      <c r="P10" s="67"/>
      <c r="Q10" s="67"/>
      <c r="R10" s="67"/>
      <c r="S10" s="67"/>
      <c r="T10" s="67"/>
      <c r="U10" s="67"/>
      <c r="V10" s="67"/>
      <c r="W10" s="67"/>
      <c r="X10" s="67"/>
      <c r="Y10" s="67"/>
      <c r="Z10" s="67"/>
    </row>
    <row r="11" spans="1:26" ht="15" customHeight="1">
      <c r="A11" s="67" t="s">
        <v>27</v>
      </c>
      <c r="B11" s="67" t="s">
        <v>1419</v>
      </c>
      <c r="C11" s="67"/>
      <c r="D11" s="67"/>
      <c r="E11" s="67"/>
      <c r="F11" s="67"/>
      <c r="G11" s="67"/>
      <c r="H11" s="67"/>
      <c r="I11" s="67"/>
      <c r="J11" s="67"/>
      <c r="K11" s="67"/>
      <c r="L11" s="67"/>
      <c r="M11" s="67"/>
      <c r="N11" s="67"/>
      <c r="O11" s="67"/>
      <c r="P11" s="67"/>
      <c r="Q11" s="67"/>
      <c r="R11" s="67"/>
      <c r="S11" s="67"/>
      <c r="T11" s="67"/>
      <c r="U11" s="67"/>
      <c r="V11" s="67"/>
      <c r="W11" s="67"/>
      <c r="X11" s="67"/>
      <c r="Y11" s="67"/>
      <c r="Z11" s="67"/>
    </row>
    <row r="12" spans="1:26" ht="15" customHeight="1">
      <c r="A12" s="67" t="s">
        <v>29</v>
      </c>
      <c r="B12" s="67" t="s">
        <v>1420</v>
      </c>
      <c r="C12" s="67"/>
      <c r="D12" s="67"/>
      <c r="E12" s="67"/>
      <c r="F12" s="67"/>
      <c r="G12" s="67"/>
      <c r="H12" s="67"/>
      <c r="I12" s="67"/>
      <c r="J12" s="67"/>
      <c r="K12" s="67"/>
      <c r="L12" s="67"/>
      <c r="M12" s="67"/>
      <c r="N12" s="67"/>
      <c r="O12" s="67"/>
      <c r="P12" s="67"/>
      <c r="Q12" s="67"/>
      <c r="R12" s="67"/>
      <c r="S12" s="67"/>
      <c r="T12" s="67"/>
      <c r="U12" s="67"/>
      <c r="V12" s="67"/>
      <c r="W12" s="67"/>
      <c r="X12" s="67"/>
      <c r="Y12" s="67"/>
      <c r="Z12" s="67"/>
    </row>
    <row r="13" spans="1:26" ht="15" customHeight="1">
      <c r="A13" s="67" t="s">
        <v>30</v>
      </c>
      <c r="B13" s="67" t="s">
        <v>1421</v>
      </c>
      <c r="C13" s="67"/>
      <c r="D13" s="67"/>
      <c r="E13" s="67"/>
      <c r="F13" s="67"/>
      <c r="G13" s="67"/>
      <c r="H13" s="67"/>
      <c r="I13" s="67"/>
      <c r="J13" s="67"/>
      <c r="K13" s="67"/>
      <c r="L13" s="67"/>
      <c r="M13" s="67"/>
      <c r="N13" s="67"/>
      <c r="O13" s="67"/>
      <c r="P13" s="67"/>
      <c r="Q13" s="67"/>
      <c r="R13" s="67"/>
      <c r="S13" s="67"/>
      <c r="T13" s="67"/>
      <c r="U13" s="67"/>
      <c r="V13" s="67"/>
      <c r="W13" s="67"/>
      <c r="X13" s="67"/>
      <c r="Y13" s="67"/>
      <c r="Z13" s="67"/>
    </row>
    <row r="14" spans="1:26" ht="15" customHeight="1">
      <c r="A14" s="67" t="s">
        <v>19</v>
      </c>
      <c r="B14" s="67" t="s">
        <v>19</v>
      </c>
      <c r="C14" s="67"/>
      <c r="D14" s="67"/>
      <c r="E14" s="67"/>
      <c r="F14" s="67"/>
      <c r="G14" s="67"/>
      <c r="H14" s="67"/>
      <c r="I14" s="67"/>
      <c r="J14" s="67"/>
      <c r="K14" s="67"/>
      <c r="L14" s="67"/>
      <c r="M14" s="67"/>
      <c r="N14" s="67"/>
      <c r="O14" s="67"/>
      <c r="P14" s="67"/>
      <c r="Q14" s="67"/>
      <c r="R14" s="67"/>
      <c r="S14" s="67"/>
      <c r="T14" s="67"/>
      <c r="U14" s="67"/>
      <c r="V14" s="67"/>
      <c r="W14" s="67"/>
      <c r="X14" s="67"/>
      <c r="Y14" s="67"/>
      <c r="Z14" s="67"/>
    </row>
    <row r="15" spans="1:26" ht="15" customHeight="1">
      <c r="A15" s="67" t="s">
        <v>20</v>
      </c>
      <c r="B15" s="67" t="s">
        <v>1422</v>
      </c>
      <c r="C15" s="67"/>
      <c r="D15" s="67"/>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32</v>
      </c>
      <c r="B16" s="67" t="s">
        <v>1423</v>
      </c>
      <c r="C16" s="67"/>
      <c r="D16" s="67"/>
      <c r="E16" s="67"/>
      <c r="F16" s="67"/>
      <c r="G16" s="67"/>
      <c r="H16" s="67"/>
      <c r="I16" s="67"/>
      <c r="J16" s="67"/>
      <c r="K16" s="67"/>
      <c r="L16" s="67"/>
      <c r="M16" s="67"/>
      <c r="N16" s="67"/>
      <c r="O16" s="67"/>
      <c r="P16" s="67"/>
      <c r="Q16" s="67"/>
      <c r="R16" s="67"/>
      <c r="S16" s="67"/>
      <c r="T16" s="67"/>
      <c r="U16" s="67"/>
      <c r="V16" s="67"/>
      <c r="W16" s="67"/>
      <c r="X16" s="67"/>
      <c r="Y16" s="67"/>
      <c r="Z16" s="67"/>
    </row>
    <row r="17" spans="1:26" ht="15" customHeight="1">
      <c r="A17" s="67" t="s">
        <v>33</v>
      </c>
      <c r="B17" s="67" t="s">
        <v>1424</v>
      </c>
      <c r="C17" s="67"/>
      <c r="D17" s="67"/>
      <c r="E17" s="67"/>
      <c r="F17" s="67"/>
      <c r="G17" s="67"/>
      <c r="H17" s="67"/>
      <c r="I17" s="67"/>
      <c r="J17" s="67"/>
      <c r="K17" s="67"/>
      <c r="L17" s="67"/>
      <c r="M17" s="67"/>
      <c r="N17" s="67"/>
      <c r="O17" s="67"/>
      <c r="P17" s="67"/>
      <c r="Q17" s="67"/>
      <c r="R17" s="67"/>
      <c r="S17" s="67"/>
      <c r="T17" s="67"/>
      <c r="U17" s="67"/>
      <c r="V17" s="67"/>
      <c r="W17" s="67"/>
      <c r="X17" s="67"/>
      <c r="Y17" s="67"/>
      <c r="Z17" s="67"/>
    </row>
    <row r="18" spans="1:26" ht="15" customHeight="1">
      <c r="A18" s="67" t="s">
        <v>36</v>
      </c>
      <c r="B18" s="67" t="s">
        <v>1425</v>
      </c>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5" customHeight="1">
      <c r="A19" s="67" t="s">
        <v>37</v>
      </c>
      <c r="B19" s="67" t="s">
        <v>1426</v>
      </c>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5" customHeight="1">
      <c r="A20" s="67" t="s">
        <v>43</v>
      </c>
      <c r="B20" s="67" t="s">
        <v>1427</v>
      </c>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67" t="s">
        <v>44</v>
      </c>
      <c r="B21" s="67" t="s">
        <v>1428</v>
      </c>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67" t="s">
        <v>40</v>
      </c>
      <c r="B22" s="67" t="s">
        <v>1429</v>
      </c>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67" t="s">
        <v>41</v>
      </c>
      <c r="B23" s="67" t="s">
        <v>1430</v>
      </c>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67" t="s">
        <v>46</v>
      </c>
      <c r="B24" s="67" t="s">
        <v>1431</v>
      </c>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67" t="s">
        <v>47</v>
      </c>
      <c r="B25" s="67" t="s">
        <v>1432</v>
      </c>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67" t="s">
        <v>54</v>
      </c>
      <c r="B26" s="67" t="s">
        <v>1433</v>
      </c>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67" t="s">
        <v>55</v>
      </c>
      <c r="B27" s="67" t="s">
        <v>1434</v>
      </c>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67" t="s">
        <v>60</v>
      </c>
      <c r="B28" s="67" t="s">
        <v>1435</v>
      </c>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67" t="s">
        <v>61</v>
      </c>
      <c r="B29" s="67" t="s">
        <v>1436</v>
      </c>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67" t="s">
        <v>50</v>
      </c>
      <c r="B30" s="67" t="s">
        <v>1437</v>
      </c>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67" t="s">
        <v>51</v>
      </c>
      <c r="B31" s="67" t="s">
        <v>1438</v>
      </c>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67" t="s">
        <v>57</v>
      </c>
      <c r="B32" s="67" t="s">
        <v>1439</v>
      </c>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67" t="s">
        <v>58</v>
      </c>
      <c r="B33" s="67" t="s">
        <v>1440</v>
      </c>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67" t="s">
        <v>63</v>
      </c>
      <c r="B34" s="67" t="s">
        <v>1441</v>
      </c>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67" t="s">
        <v>64</v>
      </c>
      <c r="B35" s="67" t="s">
        <v>1442</v>
      </c>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67" t="s">
        <v>65</v>
      </c>
      <c r="B36" s="67" t="s">
        <v>1443</v>
      </c>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67" t="s">
        <v>66</v>
      </c>
      <c r="B37" s="67" t="s">
        <v>1444</v>
      </c>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67" t="s">
        <v>68</v>
      </c>
      <c r="B38" s="67" t="s">
        <v>1445</v>
      </c>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67" t="s">
        <v>69</v>
      </c>
      <c r="B39" s="67" t="s">
        <v>1446</v>
      </c>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67" t="s">
        <v>71</v>
      </c>
      <c r="B40" s="67" t="s">
        <v>1447</v>
      </c>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67" t="s">
        <v>72</v>
      </c>
      <c r="B41" s="67" t="s">
        <v>1448</v>
      </c>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67" t="s">
        <v>74</v>
      </c>
      <c r="B42" s="67" t="s">
        <v>1449</v>
      </c>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67" t="s">
        <v>75</v>
      </c>
      <c r="B43" s="67" t="s">
        <v>1450</v>
      </c>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67" t="s">
        <v>81</v>
      </c>
      <c r="B44" s="67" t="s">
        <v>1451</v>
      </c>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67" t="s">
        <v>82</v>
      </c>
      <c r="B45" s="67" t="s">
        <v>1452</v>
      </c>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67" t="s">
        <v>77</v>
      </c>
      <c r="B46" s="67" t="s">
        <v>1453</v>
      </c>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67" t="s">
        <v>78</v>
      </c>
      <c r="B47" s="67" t="s">
        <v>1454</v>
      </c>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67" t="s">
        <v>79</v>
      </c>
      <c r="B48" s="67" t="s">
        <v>1455</v>
      </c>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67" t="s">
        <v>80</v>
      </c>
      <c r="B49" s="67" t="s">
        <v>1456</v>
      </c>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8C8C8"/>
  </sheetPr>
  <dimension ref="A1:I95"/>
  <sheetViews>
    <sheetView zoomScaleNormal="100" workbookViewId="0">
      <selection sqref="A1:XFD1048576"/>
    </sheetView>
  </sheetViews>
  <sheetFormatPr baseColWidth="10" defaultColWidth="8.5703125" defaultRowHeight="15"/>
  <cols>
    <col min="1" max="2" width="6" style="104" customWidth="1"/>
    <col min="3" max="3" width="24" style="104" customWidth="1"/>
    <col min="4" max="4" width="6" style="104" customWidth="1"/>
    <col min="5" max="5" width="24" style="104" customWidth="1"/>
    <col min="6" max="6" width="6" style="104" customWidth="1"/>
    <col min="7" max="7" width="8" style="104" customWidth="1"/>
    <col min="8" max="8" width="50" style="104" customWidth="1"/>
    <col min="9" max="9" width="55" style="104" customWidth="1"/>
    <col min="10" max="16" width="8.5703125" style="104" customWidth="1"/>
    <col min="17" max="16384" width="8.5703125" style="104"/>
  </cols>
  <sheetData>
    <row r="1" spans="1:9" ht="15" customHeight="1">
      <c r="A1" s="130" t="s">
        <v>1457</v>
      </c>
      <c r="B1" s="130" t="s">
        <v>343</v>
      </c>
      <c r="C1" s="130" t="s">
        <v>1458</v>
      </c>
      <c r="D1" s="130" t="s">
        <v>1459</v>
      </c>
      <c r="E1" s="130" t="s">
        <v>1460</v>
      </c>
      <c r="F1" s="130" t="s">
        <v>1461</v>
      </c>
      <c r="G1" s="130" t="s">
        <v>1462</v>
      </c>
      <c r="H1" s="130" t="s">
        <v>1463</v>
      </c>
      <c r="I1" s="130" t="s">
        <v>1464</v>
      </c>
    </row>
    <row r="2" spans="1:9" ht="15" customHeight="1">
      <c r="A2" s="104">
        <v>2022</v>
      </c>
      <c r="B2" s="104" t="s">
        <v>85</v>
      </c>
      <c r="C2" s="104" t="s">
        <v>1465</v>
      </c>
      <c r="D2" s="104">
        <v>1</v>
      </c>
      <c r="E2" s="104" t="s">
        <v>1466</v>
      </c>
      <c r="F2" s="104">
        <v>1</v>
      </c>
      <c r="G2" s="104" t="s">
        <v>1467</v>
      </c>
      <c r="H2" s="104" t="s">
        <v>1468</v>
      </c>
      <c r="I2" s="65" t="str">
        <f>A2&amp;" "&amp;VLOOKUP("round_"&amp;B2,langTable,MATCH(langName,_lang!$A$1:$F$1,0),FALSE)&amp;": "&amp;C2&amp;" "&amp;G2&amp;" "&amp;E2</f>
        <v>2022 Quarter-final: Croatia 1-1 Brazil</v>
      </c>
    </row>
    <row r="3" spans="1:9" ht="15" customHeight="1">
      <c r="A3" s="104">
        <v>2022</v>
      </c>
      <c r="B3" s="104" t="s">
        <v>97</v>
      </c>
      <c r="C3" s="104" t="s">
        <v>1469</v>
      </c>
      <c r="D3" s="104">
        <v>3</v>
      </c>
      <c r="E3" s="104" t="s">
        <v>1470</v>
      </c>
      <c r="F3" s="104">
        <v>3</v>
      </c>
      <c r="G3" s="104" t="s">
        <v>1471</v>
      </c>
      <c r="H3" s="104" t="s">
        <v>1472</v>
      </c>
      <c r="I3" s="65" t="str">
        <f>A3&amp;" "&amp;VLOOKUP("round_"&amp;B3,langTable,MATCH(langName,_lang!$A$1:$F$1,0),FALSE)&amp;": "&amp;C3&amp;" "&amp;G3&amp;" "&amp;E3</f>
        <v>2022 Final: Argentina 3-3 France</v>
      </c>
    </row>
    <row r="4" spans="1:9" ht="15" customHeight="1">
      <c r="A4" s="104">
        <v>2022</v>
      </c>
      <c r="B4" s="104" t="s">
        <v>85</v>
      </c>
      <c r="C4" s="104" t="s">
        <v>1469</v>
      </c>
      <c r="D4" s="104">
        <v>2</v>
      </c>
      <c r="E4" s="104" t="s">
        <v>1473</v>
      </c>
      <c r="F4" s="104">
        <v>2</v>
      </c>
      <c r="G4" s="104" t="s">
        <v>1474</v>
      </c>
      <c r="H4" s="104" t="s">
        <v>1475</v>
      </c>
      <c r="I4" s="65" t="str">
        <f>A4&amp;" "&amp;VLOOKUP("round_"&amp;B4,langTable,MATCH(langName,_lang!$A$1:$F$1,0),FALSE)&amp;": "&amp;C4&amp;" "&amp;G4&amp;" "&amp;E4</f>
        <v>2022 Quarter-final: Argentina 2-2 Netherlands</v>
      </c>
    </row>
    <row r="5" spans="1:9" ht="15" customHeight="1">
      <c r="A5" s="104">
        <v>2022</v>
      </c>
      <c r="B5" s="104" t="s">
        <v>85</v>
      </c>
      <c r="C5" s="104" t="s">
        <v>1470</v>
      </c>
      <c r="D5" s="104">
        <v>2</v>
      </c>
      <c r="E5" s="104" t="s">
        <v>1476</v>
      </c>
      <c r="F5" s="104">
        <v>1</v>
      </c>
      <c r="G5" s="104" t="s">
        <v>1477</v>
      </c>
      <c r="H5" s="104" t="s">
        <v>1478</v>
      </c>
      <c r="I5" s="65" t="str">
        <f>A5&amp;" "&amp;VLOOKUP("round_"&amp;B5,langTable,MATCH(langName,_lang!$A$1:$F$1,0),FALSE)&amp;": "&amp;C5&amp;" "&amp;G5&amp;" "&amp;E5</f>
        <v>2022 Quarter-final: France 2-1 England</v>
      </c>
    </row>
    <row r="6" spans="1:9" ht="15" customHeight="1">
      <c r="A6" s="104">
        <v>2022</v>
      </c>
      <c r="B6" s="104" t="s">
        <v>84</v>
      </c>
      <c r="C6" s="104" t="s">
        <v>1479</v>
      </c>
      <c r="D6" s="104">
        <v>0</v>
      </c>
      <c r="E6" s="104" t="s">
        <v>1480</v>
      </c>
      <c r="F6" s="104">
        <v>0</v>
      </c>
      <c r="G6" s="104" t="s">
        <v>1481</v>
      </c>
      <c r="H6" s="104" t="s">
        <v>1482</v>
      </c>
      <c r="I6" s="65" t="str">
        <f>A6&amp;" "&amp;VLOOKUP("round_"&amp;B6,langTable,MATCH(langName,_lang!$A$1:$F$1,0),FALSE)&amp;": "&amp;C6&amp;" "&amp;G6&amp;" "&amp;E6</f>
        <v>2022 R16: Morocco 0-0 Spain</v>
      </c>
    </row>
    <row r="7" spans="1:9" ht="15" customHeight="1">
      <c r="A7" s="104">
        <v>2022</v>
      </c>
      <c r="B7" s="104" t="s">
        <v>85</v>
      </c>
      <c r="C7" s="104" t="s">
        <v>1479</v>
      </c>
      <c r="D7" s="104">
        <v>1</v>
      </c>
      <c r="E7" s="104" t="s">
        <v>1483</v>
      </c>
      <c r="F7" s="104">
        <v>0</v>
      </c>
      <c r="G7" s="104" t="s">
        <v>1484</v>
      </c>
      <c r="H7" s="104" t="s">
        <v>1485</v>
      </c>
      <c r="I7" s="65" t="str">
        <f>A7&amp;" "&amp;VLOOKUP("round_"&amp;B7,langTable,MATCH(langName,_lang!$A$1:$F$1,0),FALSE)&amp;": "&amp;C7&amp;" "&amp;G7&amp;" "&amp;E7</f>
        <v>2022 Quarter-final: Morocco 1-0 Portugal</v>
      </c>
    </row>
    <row r="8" spans="1:9" ht="15" customHeight="1">
      <c r="A8" s="104">
        <v>2022</v>
      </c>
      <c r="B8" s="104" t="s">
        <v>1486</v>
      </c>
      <c r="C8" s="104" t="s">
        <v>1465</v>
      </c>
      <c r="D8" s="104">
        <v>2</v>
      </c>
      <c r="E8" s="104" t="s">
        <v>1479</v>
      </c>
      <c r="F8" s="104">
        <v>1</v>
      </c>
      <c r="G8" s="104" t="s">
        <v>1477</v>
      </c>
      <c r="H8" s="104" t="s">
        <v>1487</v>
      </c>
      <c r="I8" s="65" t="str">
        <f>A8&amp;" "&amp;VLOOKUP("round_"&amp;B8,langTable,MATCH(langName,_lang!$A$1:$F$1,0),FALSE)&amp;": "&amp;C8&amp;" "&amp;G8&amp;" "&amp;E8</f>
        <v>2022 3rd place: Croatia 2-1 Morocco</v>
      </c>
    </row>
    <row r="9" spans="1:9" ht="15" customHeight="1">
      <c r="A9" s="104">
        <v>2022</v>
      </c>
      <c r="B9" s="104" t="s">
        <v>84</v>
      </c>
      <c r="C9" s="104" t="s">
        <v>1483</v>
      </c>
      <c r="D9" s="104">
        <v>6</v>
      </c>
      <c r="E9" s="104" t="s">
        <v>1488</v>
      </c>
      <c r="F9" s="104">
        <v>1</v>
      </c>
      <c r="G9" s="104" t="s">
        <v>1489</v>
      </c>
      <c r="H9" s="104" t="s">
        <v>1490</v>
      </c>
      <c r="I9" s="65" t="str">
        <f>A9&amp;" "&amp;VLOOKUP("round_"&amp;B9,langTable,MATCH(langName,_lang!$A$1:$F$1,0),FALSE)&amp;": "&amp;C9&amp;" "&amp;G9&amp;" "&amp;E9</f>
        <v>2022 R16: Portugal 6-1 Switzerland</v>
      </c>
    </row>
    <row r="10" spans="1:9" ht="15" customHeight="1">
      <c r="A10" s="104">
        <v>2022</v>
      </c>
      <c r="B10" s="104" t="s">
        <v>84</v>
      </c>
      <c r="C10" s="104" t="s">
        <v>1469</v>
      </c>
      <c r="D10" s="104">
        <v>2</v>
      </c>
      <c r="E10" s="104" t="s">
        <v>1491</v>
      </c>
      <c r="F10" s="104">
        <v>1</v>
      </c>
      <c r="G10" s="104" t="s">
        <v>1477</v>
      </c>
      <c r="H10" s="104" t="s">
        <v>1492</v>
      </c>
      <c r="I10" s="65" t="str">
        <f>A10&amp;" "&amp;VLOOKUP("round_"&amp;B10,langTable,MATCH(langName,_lang!$A$1:$F$1,0),FALSE)&amp;": "&amp;C10&amp;" "&amp;G10&amp;" "&amp;E10</f>
        <v>2022 R16: Argentina 2-1 Australia</v>
      </c>
    </row>
    <row r="11" spans="1:9" ht="15" customHeight="1">
      <c r="A11" s="104">
        <v>2022</v>
      </c>
      <c r="B11" s="104" t="s">
        <v>84</v>
      </c>
      <c r="C11" s="104" t="s">
        <v>1465</v>
      </c>
      <c r="D11" s="104">
        <v>1</v>
      </c>
      <c r="E11" s="104" t="s">
        <v>1493</v>
      </c>
      <c r="F11" s="104">
        <v>1</v>
      </c>
      <c r="G11" s="104" t="s">
        <v>1467</v>
      </c>
      <c r="H11" s="104" t="s">
        <v>1494</v>
      </c>
      <c r="I11" s="65" t="str">
        <f>A11&amp;" "&amp;VLOOKUP("round_"&amp;B11,langTable,MATCH(langName,_lang!$A$1:$F$1,0),FALSE)&amp;": "&amp;C11&amp;" "&amp;G11&amp;" "&amp;E11</f>
        <v>2022 R16: Croatia 1-1 Japan</v>
      </c>
    </row>
    <row r="12" spans="1:9" ht="15" customHeight="1">
      <c r="A12" s="104">
        <v>2022</v>
      </c>
      <c r="B12" s="104" t="s">
        <v>86</v>
      </c>
      <c r="C12" s="104" t="s">
        <v>1470</v>
      </c>
      <c r="D12" s="104">
        <v>2</v>
      </c>
      <c r="E12" s="104" t="s">
        <v>1479</v>
      </c>
      <c r="F12" s="104">
        <v>0</v>
      </c>
      <c r="G12" s="104" t="s">
        <v>1495</v>
      </c>
      <c r="H12" s="104" t="s">
        <v>1496</v>
      </c>
      <c r="I12" s="65" t="str">
        <f>A12&amp;" "&amp;VLOOKUP("round_"&amp;B12,langTable,MATCH(langName,_lang!$A$1:$F$1,0),FALSE)&amp;": "&amp;C12&amp;" "&amp;G12&amp;" "&amp;E12</f>
        <v>2022 Semi-final: France 2-0 Morocco</v>
      </c>
    </row>
    <row r="13" spans="1:9" ht="15" customHeight="1">
      <c r="A13" s="104">
        <v>2022</v>
      </c>
      <c r="B13" s="104" t="s">
        <v>1497</v>
      </c>
      <c r="C13" s="104" t="s">
        <v>1483</v>
      </c>
      <c r="D13" s="104">
        <v>3</v>
      </c>
      <c r="E13" s="104" t="s">
        <v>1498</v>
      </c>
      <c r="F13" s="104">
        <v>2</v>
      </c>
      <c r="G13" s="104" t="s">
        <v>1499</v>
      </c>
      <c r="H13" s="104" t="s">
        <v>1500</v>
      </c>
      <c r="I13" s="65" t="str">
        <f>A13&amp;" "&amp;VLOOKUP("round_"&amp;B13,langTable,MATCH(langName,_lang!$A$1:$F$1,0),FALSE)&amp;": "&amp;C13&amp;" "&amp;G13&amp;" "&amp;E13</f>
        <v>2022 Group: Portugal 3-2 Ghana</v>
      </c>
    </row>
    <row r="14" spans="1:9" ht="15" customHeight="1">
      <c r="A14" s="104">
        <v>2022</v>
      </c>
      <c r="B14" s="104" t="s">
        <v>1497</v>
      </c>
      <c r="C14" s="104" t="s">
        <v>1501</v>
      </c>
      <c r="D14" s="104">
        <v>1</v>
      </c>
      <c r="E14" s="104" t="s">
        <v>1394</v>
      </c>
      <c r="F14" s="104">
        <v>0</v>
      </c>
      <c r="G14" s="104" t="s">
        <v>1484</v>
      </c>
      <c r="H14" s="104" t="s">
        <v>1502</v>
      </c>
      <c r="I14" s="65" t="str">
        <f>A14&amp;" "&amp;VLOOKUP("round_"&amp;B14,langTable,MATCH(langName,_lang!$A$1:$F$1,0),FALSE)&amp;": "&amp;C14&amp;" "&amp;G14&amp;" "&amp;E14</f>
        <v>2022 Group: Belgium 1-0 Canada</v>
      </c>
    </row>
    <row r="15" spans="1:9" ht="15" customHeight="1">
      <c r="A15" s="104">
        <v>2018</v>
      </c>
      <c r="B15" s="104" t="s">
        <v>85</v>
      </c>
      <c r="C15" s="104" t="s">
        <v>1501</v>
      </c>
      <c r="D15" s="104">
        <v>2</v>
      </c>
      <c r="E15" s="104" t="s">
        <v>1466</v>
      </c>
      <c r="F15" s="104">
        <v>1</v>
      </c>
      <c r="G15" s="104" t="s">
        <v>1477</v>
      </c>
      <c r="H15" s="104" t="s">
        <v>1503</v>
      </c>
      <c r="I15" s="65" t="str">
        <f>A15&amp;" "&amp;VLOOKUP("round_"&amp;B15,langTable,MATCH(langName,_lang!$A$1:$F$1,0),FALSE)&amp;": "&amp;C15&amp;" "&amp;G15&amp;" "&amp;E15</f>
        <v>2018 Quarter-final: Belgium 2-1 Brazil</v>
      </c>
    </row>
    <row r="16" spans="1:9" ht="15" customHeight="1">
      <c r="A16" s="104">
        <v>2018</v>
      </c>
      <c r="B16" s="104" t="s">
        <v>84</v>
      </c>
      <c r="C16" s="104" t="s">
        <v>1470</v>
      </c>
      <c r="D16" s="104">
        <v>4</v>
      </c>
      <c r="E16" s="104" t="s">
        <v>1469</v>
      </c>
      <c r="F16" s="104">
        <v>3</v>
      </c>
      <c r="G16" s="104" t="s">
        <v>1504</v>
      </c>
      <c r="H16" s="104" t="s">
        <v>1472</v>
      </c>
      <c r="I16" s="65" t="str">
        <f>A16&amp;" "&amp;VLOOKUP("round_"&amp;B16,langTable,MATCH(langName,_lang!$A$1:$F$1,0),FALSE)&amp;": "&amp;C16&amp;" "&amp;G16&amp;" "&amp;E16</f>
        <v>2018 R16: France 4-3 Argentina</v>
      </c>
    </row>
    <row r="17" spans="1:9" ht="15" customHeight="1">
      <c r="A17" s="104">
        <v>2018</v>
      </c>
      <c r="B17" s="104" t="s">
        <v>1497</v>
      </c>
      <c r="C17" s="104" t="s">
        <v>1390</v>
      </c>
      <c r="D17" s="104">
        <v>1</v>
      </c>
      <c r="E17" s="104" t="s">
        <v>1505</v>
      </c>
      <c r="F17" s="104">
        <v>0</v>
      </c>
      <c r="G17" s="104" t="s">
        <v>1484</v>
      </c>
      <c r="H17" s="104" t="s">
        <v>1506</v>
      </c>
      <c r="I17" s="65" t="str">
        <f>A17&amp;" "&amp;VLOOKUP("round_"&amp;B17,langTable,MATCH(langName,_lang!$A$1:$F$1,0),FALSE)&amp;": "&amp;C17&amp;" "&amp;G17&amp;" "&amp;E17</f>
        <v>2018 Group: Mexico 1-0 Germany</v>
      </c>
    </row>
    <row r="18" spans="1:9" ht="15" customHeight="1">
      <c r="A18" s="104">
        <v>2018</v>
      </c>
      <c r="B18" s="104" t="s">
        <v>86</v>
      </c>
      <c r="C18" s="104" t="s">
        <v>1465</v>
      </c>
      <c r="D18" s="104">
        <v>2</v>
      </c>
      <c r="E18" s="104" t="s">
        <v>1476</v>
      </c>
      <c r="F18" s="104">
        <v>1</v>
      </c>
      <c r="G18" s="104" t="s">
        <v>1477</v>
      </c>
      <c r="H18" s="104" t="s">
        <v>1507</v>
      </c>
      <c r="I18" s="65" t="str">
        <f>A18&amp;" "&amp;VLOOKUP("round_"&amp;B18,langTable,MATCH(langName,_lang!$A$1:$F$1,0),FALSE)&amp;": "&amp;C18&amp;" "&amp;G18&amp;" "&amp;E18</f>
        <v>2018 Semi-final: Croatia 2-1 England</v>
      </c>
    </row>
    <row r="19" spans="1:9" ht="15" customHeight="1">
      <c r="A19" s="104">
        <v>2018</v>
      </c>
      <c r="B19" s="104" t="s">
        <v>97</v>
      </c>
      <c r="C19" s="104" t="s">
        <v>1470</v>
      </c>
      <c r="D19" s="104">
        <v>4</v>
      </c>
      <c r="E19" s="104" t="s">
        <v>1465</v>
      </c>
      <c r="F19" s="104">
        <v>2</v>
      </c>
      <c r="G19" s="104" t="s">
        <v>1508</v>
      </c>
      <c r="H19" s="104" t="s">
        <v>1509</v>
      </c>
      <c r="I19" s="65" t="str">
        <f>A19&amp;" "&amp;VLOOKUP("round_"&amp;B19,langTable,MATCH(langName,_lang!$A$1:$F$1,0),FALSE)&amp;": "&amp;C19&amp;" "&amp;G19&amp;" "&amp;E19</f>
        <v>2018 Final: France 4-2 Croatia</v>
      </c>
    </row>
    <row r="20" spans="1:9" ht="15" customHeight="1">
      <c r="A20" s="104">
        <v>2018</v>
      </c>
      <c r="B20" s="104" t="s">
        <v>1497</v>
      </c>
      <c r="C20" s="104" t="s">
        <v>1390</v>
      </c>
      <c r="D20" s="104">
        <v>1</v>
      </c>
      <c r="E20" s="104" t="s">
        <v>1505</v>
      </c>
      <c r="F20" s="104">
        <v>0</v>
      </c>
      <c r="G20" s="104" t="s">
        <v>1484</v>
      </c>
      <c r="H20" s="104" t="s">
        <v>1506</v>
      </c>
      <c r="I20" s="65" t="str">
        <f>A20&amp;" "&amp;VLOOKUP("round_"&amp;B20,langTable,MATCH(langName,_lang!$A$1:$F$1,0),FALSE)&amp;": "&amp;C20&amp;" "&amp;G20&amp;" "&amp;E20</f>
        <v>2018 Group: Mexico 1-0 Germany</v>
      </c>
    </row>
    <row r="21" spans="1:9" ht="15" customHeight="1">
      <c r="A21" s="104">
        <v>2018</v>
      </c>
      <c r="B21" s="104" t="s">
        <v>1486</v>
      </c>
      <c r="C21" s="104" t="s">
        <v>1501</v>
      </c>
      <c r="D21" s="104">
        <v>2</v>
      </c>
      <c r="E21" s="104" t="s">
        <v>1476</v>
      </c>
      <c r="F21" s="104">
        <v>0</v>
      </c>
      <c r="G21" s="104" t="s">
        <v>1495</v>
      </c>
      <c r="H21" s="104" t="s">
        <v>1510</v>
      </c>
      <c r="I21" s="65" t="str">
        <f>A21&amp;" "&amp;VLOOKUP("round_"&amp;B21,langTable,MATCH(langName,_lang!$A$1:$F$1,0),FALSE)&amp;": "&amp;C21&amp;" "&amp;G21&amp;" "&amp;E21</f>
        <v>2018 3rd place: Belgium 2-0 England</v>
      </c>
    </row>
    <row r="22" spans="1:9" ht="15" customHeight="1">
      <c r="A22" s="104">
        <v>2018</v>
      </c>
      <c r="B22" s="104" t="s">
        <v>84</v>
      </c>
      <c r="C22" s="104" t="s">
        <v>1476</v>
      </c>
      <c r="D22" s="104">
        <v>1</v>
      </c>
      <c r="E22" s="104" t="s">
        <v>1511</v>
      </c>
      <c r="F22" s="104">
        <v>1</v>
      </c>
      <c r="G22" s="104" t="s">
        <v>1467</v>
      </c>
      <c r="H22" s="104" t="s">
        <v>1512</v>
      </c>
      <c r="I22" s="65" t="str">
        <f>A22&amp;" "&amp;VLOOKUP("round_"&amp;B22,langTable,MATCH(langName,_lang!$A$1:$F$1,0),FALSE)&amp;": "&amp;C22&amp;" "&amp;G22&amp;" "&amp;E22</f>
        <v>2018 R16: England 1-1 Colombia</v>
      </c>
    </row>
    <row r="23" spans="1:9" ht="15" customHeight="1">
      <c r="A23" s="104">
        <v>2018</v>
      </c>
      <c r="B23" s="104" t="s">
        <v>1497</v>
      </c>
      <c r="C23" s="104" t="s">
        <v>1476</v>
      </c>
      <c r="D23" s="104">
        <v>6</v>
      </c>
      <c r="E23" s="104" t="s">
        <v>1513</v>
      </c>
      <c r="F23" s="104">
        <v>1</v>
      </c>
      <c r="G23" s="104" t="s">
        <v>1489</v>
      </c>
      <c r="H23" s="104" t="s">
        <v>1514</v>
      </c>
      <c r="I23" s="65" t="str">
        <f>A23&amp;" "&amp;VLOOKUP("round_"&amp;B23,langTable,MATCH(langName,_lang!$A$1:$F$1,0),FALSE)&amp;": "&amp;C23&amp;" "&amp;G23&amp;" "&amp;E23</f>
        <v>2018 Group: England 6-1 Panama</v>
      </c>
    </row>
    <row r="24" spans="1:9" ht="15" customHeight="1">
      <c r="A24" s="104">
        <v>2014</v>
      </c>
      <c r="B24" s="104" t="s">
        <v>86</v>
      </c>
      <c r="C24" s="104" t="s">
        <v>1505</v>
      </c>
      <c r="D24" s="104">
        <v>7</v>
      </c>
      <c r="E24" s="104" t="s">
        <v>1466</v>
      </c>
      <c r="F24" s="104">
        <v>1</v>
      </c>
      <c r="G24" s="104" t="s">
        <v>1515</v>
      </c>
      <c r="H24" s="104" t="s">
        <v>1516</v>
      </c>
      <c r="I24" s="65" t="str">
        <f>A24&amp;" "&amp;VLOOKUP("round_"&amp;B24,langTable,MATCH(langName,_lang!$A$1:$F$1,0),FALSE)&amp;": "&amp;C24&amp;" "&amp;G24&amp;" "&amp;E24</f>
        <v>2014 Semi-final: Germany 7-1 Brazil</v>
      </c>
    </row>
    <row r="25" spans="1:9" ht="15" customHeight="1">
      <c r="A25" s="104">
        <v>2014</v>
      </c>
      <c r="B25" s="104" t="s">
        <v>97</v>
      </c>
      <c r="C25" s="104" t="s">
        <v>1505</v>
      </c>
      <c r="D25" s="104">
        <v>1</v>
      </c>
      <c r="E25" s="104" t="s">
        <v>1469</v>
      </c>
      <c r="F25" s="104">
        <v>0</v>
      </c>
      <c r="G25" s="104" t="s">
        <v>1484</v>
      </c>
      <c r="H25" s="104" t="s">
        <v>1517</v>
      </c>
      <c r="I25" s="65" t="str">
        <f>A25&amp;" "&amp;VLOOKUP("round_"&amp;B25,langTable,MATCH(langName,_lang!$A$1:$F$1,0),FALSE)&amp;": "&amp;C25&amp;" "&amp;G25&amp;" "&amp;E25</f>
        <v>2014 Final: Germany 1-0 Argentina</v>
      </c>
    </row>
    <row r="26" spans="1:9" ht="15" customHeight="1">
      <c r="A26" s="104">
        <v>2014</v>
      </c>
      <c r="B26" s="104" t="s">
        <v>1497</v>
      </c>
      <c r="C26" s="104" t="s">
        <v>1473</v>
      </c>
      <c r="D26" s="104">
        <v>5</v>
      </c>
      <c r="E26" s="104" t="s">
        <v>1480</v>
      </c>
      <c r="F26" s="104">
        <v>1</v>
      </c>
      <c r="G26" s="104" t="s">
        <v>1518</v>
      </c>
      <c r="H26" s="104" t="s">
        <v>1519</v>
      </c>
      <c r="I26" s="65" t="str">
        <f>A26&amp;" "&amp;VLOOKUP("round_"&amp;B26,langTable,MATCH(langName,_lang!$A$1:$F$1,0),FALSE)&amp;": "&amp;C26&amp;" "&amp;G26&amp;" "&amp;E26</f>
        <v>2014 Group: Netherlands 5-1 Spain</v>
      </c>
    </row>
    <row r="27" spans="1:9" ht="15" customHeight="1">
      <c r="A27" s="104">
        <v>2014</v>
      </c>
      <c r="B27" s="104" t="s">
        <v>84</v>
      </c>
      <c r="C27" s="104" t="s">
        <v>1501</v>
      </c>
      <c r="D27" s="104">
        <v>2</v>
      </c>
      <c r="E27" s="104" t="s">
        <v>1397</v>
      </c>
      <c r="F27" s="104">
        <v>1</v>
      </c>
      <c r="G27" s="104" t="s">
        <v>1477</v>
      </c>
      <c r="H27" s="104" t="s">
        <v>1520</v>
      </c>
      <c r="I27" s="65" t="str">
        <f>A27&amp;" "&amp;VLOOKUP("round_"&amp;B27,langTable,MATCH(langName,_lang!$A$1:$F$1,0),FALSE)&amp;": "&amp;C27&amp;" "&amp;G27&amp;" "&amp;E27</f>
        <v>2014 R16: Belgium 2-1 USA</v>
      </c>
    </row>
    <row r="28" spans="1:9" ht="15" customHeight="1">
      <c r="A28" s="104">
        <v>2014</v>
      </c>
      <c r="B28" s="104" t="s">
        <v>1497</v>
      </c>
      <c r="C28" s="104" t="s">
        <v>1521</v>
      </c>
      <c r="D28" s="104">
        <v>2</v>
      </c>
      <c r="E28" s="104" t="s">
        <v>1522</v>
      </c>
      <c r="F28" s="104">
        <v>1</v>
      </c>
      <c r="G28" s="104" t="s">
        <v>1477</v>
      </c>
      <c r="H28" s="104" t="s">
        <v>1523</v>
      </c>
      <c r="I28" s="65" t="str">
        <f>A28&amp;" "&amp;VLOOKUP("round_"&amp;B28,langTable,MATCH(langName,_lang!$A$1:$F$1,0),FALSE)&amp;": "&amp;C28&amp;" "&amp;G28&amp;" "&amp;E28</f>
        <v>2014 Group: Ecuador 2-1 Honduras</v>
      </c>
    </row>
    <row r="29" spans="1:9" ht="15" customHeight="1">
      <c r="A29" s="104">
        <v>2014</v>
      </c>
      <c r="B29" s="104" t="s">
        <v>84</v>
      </c>
      <c r="C29" s="104" t="s">
        <v>1505</v>
      </c>
      <c r="D29" s="104">
        <v>2</v>
      </c>
      <c r="E29" s="104" t="s">
        <v>1524</v>
      </c>
      <c r="F29" s="104">
        <v>1</v>
      </c>
      <c r="G29" s="104" t="s">
        <v>1477</v>
      </c>
      <c r="H29" s="104" t="s">
        <v>1525</v>
      </c>
      <c r="I29" s="65" t="str">
        <f>A29&amp;" "&amp;VLOOKUP("round_"&amp;B29,langTable,MATCH(langName,_lang!$A$1:$F$1,0),FALSE)&amp;": "&amp;C29&amp;" "&amp;G29&amp;" "&amp;E29</f>
        <v>2014 R16: Germany 2-1 Algeria</v>
      </c>
    </row>
    <row r="30" spans="1:9" ht="15" customHeight="1">
      <c r="A30" s="104">
        <v>2014</v>
      </c>
      <c r="B30" s="104" t="s">
        <v>85</v>
      </c>
      <c r="C30" s="104" t="s">
        <v>1466</v>
      </c>
      <c r="D30" s="104">
        <v>2</v>
      </c>
      <c r="E30" s="104" t="s">
        <v>1511</v>
      </c>
      <c r="F30" s="104">
        <v>1</v>
      </c>
      <c r="G30" s="104" t="s">
        <v>1477</v>
      </c>
      <c r="H30" s="104" t="s">
        <v>1526</v>
      </c>
      <c r="I30" s="65" t="str">
        <f>A30&amp;" "&amp;VLOOKUP("round_"&amp;B30,langTable,MATCH(langName,_lang!$A$1:$F$1,0),FALSE)&amp;": "&amp;C30&amp;" "&amp;G30&amp;" "&amp;E30</f>
        <v>2014 Quarter-final: Brazil 2-1 Colombia</v>
      </c>
    </row>
    <row r="31" spans="1:9" ht="15" customHeight="1">
      <c r="A31" s="104">
        <v>2010</v>
      </c>
      <c r="B31" s="104" t="s">
        <v>85</v>
      </c>
      <c r="C31" s="104" t="s">
        <v>1505</v>
      </c>
      <c r="D31" s="104">
        <v>4</v>
      </c>
      <c r="E31" s="104" t="s">
        <v>1469</v>
      </c>
      <c r="F31" s="104">
        <v>0</v>
      </c>
      <c r="G31" s="104" t="s">
        <v>1527</v>
      </c>
      <c r="H31" s="104" t="s">
        <v>1517</v>
      </c>
      <c r="I31" s="65" t="str">
        <f>A31&amp;" "&amp;VLOOKUP("round_"&amp;B31,langTable,MATCH(langName,_lang!$A$1:$F$1,0),FALSE)&amp;": "&amp;C31&amp;" "&amp;G31&amp;" "&amp;E31</f>
        <v>2010 Quarter-final: Germany 4-0 Argentina</v>
      </c>
    </row>
    <row r="32" spans="1:9" ht="15" customHeight="1">
      <c r="A32" s="104">
        <v>2010</v>
      </c>
      <c r="B32" s="104" t="s">
        <v>84</v>
      </c>
      <c r="C32" s="104" t="s">
        <v>1505</v>
      </c>
      <c r="D32" s="104">
        <v>4</v>
      </c>
      <c r="E32" s="104" t="s">
        <v>1476</v>
      </c>
      <c r="F32" s="104">
        <v>1</v>
      </c>
      <c r="G32" s="104" t="s">
        <v>1528</v>
      </c>
      <c r="H32" s="104" t="s">
        <v>1529</v>
      </c>
      <c r="I32" s="65" t="str">
        <f>A32&amp;" "&amp;VLOOKUP("round_"&amp;B32,langTable,MATCH(langName,_lang!$A$1:$F$1,0),FALSE)&amp;": "&amp;C32&amp;" "&amp;G32&amp;" "&amp;E32</f>
        <v>2010 R16: Germany 4-1 England</v>
      </c>
    </row>
    <row r="33" spans="1:9" ht="15" customHeight="1">
      <c r="A33" s="104">
        <v>2010</v>
      </c>
      <c r="B33" s="104" t="s">
        <v>1497</v>
      </c>
      <c r="C33" s="104" t="s">
        <v>1397</v>
      </c>
      <c r="D33" s="104">
        <v>1</v>
      </c>
      <c r="E33" s="104" t="s">
        <v>1476</v>
      </c>
      <c r="F33" s="104">
        <v>1</v>
      </c>
      <c r="G33" s="104" t="s">
        <v>1467</v>
      </c>
      <c r="H33" s="104" t="s">
        <v>1530</v>
      </c>
      <c r="I33" s="65" t="str">
        <f>A33&amp;" "&amp;VLOOKUP("round_"&amp;B33,langTable,MATCH(langName,_lang!$A$1:$F$1,0),FALSE)&amp;": "&amp;C33&amp;" "&amp;G33&amp;" "&amp;E33</f>
        <v>2010 Group: USA 1-1 England</v>
      </c>
    </row>
    <row r="34" spans="1:9" ht="15" customHeight="1">
      <c r="A34" s="104">
        <v>2010</v>
      </c>
      <c r="B34" s="104" t="s">
        <v>97</v>
      </c>
      <c r="C34" s="104" t="s">
        <v>1480</v>
      </c>
      <c r="D34" s="104">
        <v>1</v>
      </c>
      <c r="E34" s="104" t="s">
        <v>1473</v>
      </c>
      <c r="F34" s="104">
        <v>0</v>
      </c>
      <c r="G34" s="104" t="s">
        <v>1484</v>
      </c>
      <c r="H34" s="104" t="s">
        <v>1519</v>
      </c>
      <c r="I34" s="65" t="str">
        <f>A34&amp;" "&amp;VLOOKUP("round_"&amp;B34,langTable,MATCH(langName,_lang!$A$1:$F$1,0),FALSE)&amp;": "&amp;C34&amp;" "&amp;G34&amp;" "&amp;E34</f>
        <v>2010 Final: Spain 1-0 Netherlands</v>
      </c>
    </row>
    <row r="35" spans="1:9" ht="15" customHeight="1">
      <c r="A35" s="104">
        <v>2010</v>
      </c>
      <c r="B35" s="104" t="s">
        <v>86</v>
      </c>
      <c r="C35" s="104" t="s">
        <v>1480</v>
      </c>
      <c r="D35" s="104">
        <v>1</v>
      </c>
      <c r="E35" s="104" t="s">
        <v>1505</v>
      </c>
      <c r="F35" s="104">
        <v>0</v>
      </c>
      <c r="G35" s="104" t="s">
        <v>1484</v>
      </c>
      <c r="H35" s="104" t="s">
        <v>1531</v>
      </c>
      <c r="I35" s="65" t="str">
        <f>A35&amp;" "&amp;VLOOKUP("round_"&amp;B35,langTable,MATCH(langName,_lang!$A$1:$F$1,0),FALSE)&amp;": "&amp;C35&amp;" "&amp;G35&amp;" "&amp;E35</f>
        <v>2010 Semi-final: Spain 1-0 Germany</v>
      </c>
    </row>
    <row r="36" spans="1:9" ht="15" customHeight="1">
      <c r="A36" s="104">
        <v>2010</v>
      </c>
      <c r="B36" s="104" t="s">
        <v>97</v>
      </c>
      <c r="C36" s="104" t="s">
        <v>1480</v>
      </c>
      <c r="D36" s="104">
        <v>1</v>
      </c>
      <c r="E36" s="104" t="s">
        <v>1473</v>
      </c>
      <c r="F36" s="104">
        <v>0</v>
      </c>
      <c r="G36" s="104" t="s">
        <v>1484</v>
      </c>
      <c r="H36" s="104" t="s">
        <v>1519</v>
      </c>
      <c r="I36" s="65" t="str">
        <f>A36&amp;" "&amp;VLOOKUP("round_"&amp;B36,langTable,MATCH(langName,_lang!$A$1:$F$1,0),FALSE)&amp;": "&amp;C36&amp;" "&amp;G36&amp;" "&amp;E36</f>
        <v>2010 Final: Spain 1-0 Netherlands</v>
      </c>
    </row>
    <row r="37" spans="1:9" ht="15" customHeight="1">
      <c r="A37" s="104">
        <v>2010</v>
      </c>
      <c r="B37" s="104" t="s">
        <v>85</v>
      </c>
      <c r="C37" s="104" t="s">
        <v>1532</v>
      </c>
      <c r="D37" s="104">
        <v>1</v>
      </c>
      <c r="E37" s="104" t="s">
        <v>1498</v>
      </c>
      <c r="F37" s="104">
        <v>1</v>
      </c>
      <c r="G37" s="104" t="s">
        <v>1467</v>
      </c>
      <c r="H37" s="104" t="s">
        <v>1533</v>
      </c>
      <c r="I37" s="65" t="str">
        <f>A37&amp;" "&amp;VLOOKUP("round_"&amp;B37,langTable,MATCH(langName,_lang!$A$1:$F$1,0),FALSE)&amp;": "&amp;C37&amp;" "&amp;G37&amp;" "&amp;E37</f>
        <v>2010 Quarter-final: Uruguay 1-1 Ghana</v>
      </c>
    </row>
    <row r="38" spans="1:9" ht="15" customHeight="1">
      <c r="A38" s="104">
        <v>2010</v>
      </c>
      <c r="B38" s="104" t="s">
        <v>84</v>
      </c>
      <c r="C38" s="104" t="s">
        <v>1534</v>
      </c>
      <c r="D38" s="104">
        <v>0</v>
      </c>
      <c r="E38" s="104" t="s">
        <v>1493</v>
      </c>
      <c r="F38" s="104">
        <v>0</v>
      </c>
      <c r="G38" s="104" t="s">
        <v>1481</v>
      </c>
      <c r="H38" s="104" t="s">
        <v>1535</v>
      </c>
      <c r="I38" s="65" t="str">
        <f>A38&amp;" "&amp;VLOOKUP("round_"&amp;B38,langTable,MATCH(langName,_lang!$A$1:$F$1,0),FALSE)&amp;": "&amp;C38&amp;" "&amp;G38&amp;" "&amp;E38</f>
        <v>2010 R16: Paraguay 0-0 Japan</v>
      </c>
    </row>
    <row r="39" spans="1:9" ht="15" customHeight="1">
      <c r="A39" s="104">
        <v>2010</v>
      </c>
      <c r="B39" s="104" t="s">
        <v>1497</v>
      </c>
      <c r="C39" s="104" t="s">
        <v>1534</v>
      </c>
      <c r="D39" s="104">
        <v>1</v>
      </c>
      <c r="E39" s="104" t="s">
        <v>1536</v>
      </c>
      <c r="F39" s="104">
        <v>1</v>
      </c>
      <c r="G39" s="104" t="s">
        <v>1467</v>
      </c>
      <c r="H39" s="104" t="s">
        <v>1537</v>
      </c>
      <c r="I39" s="65" t="str">
        <f>A39&amp;" "&amp;VLOOKUP("round_"&amp;B39,langTable,MATCH(langName,_lang!$A$1:$F$1,0),FALSE)&amp;": "&amp;C39&amp;" "&amp;G39&amp;" "&amp;E39</f>
        <v>2010 Group: Paraguay 1-1 Italy</v>
      </c>
    </row>
    <row r="40" spans="1:9" ht="15" customHeight="1">
      <c r="A40" s="104">
        <v>2006</v>
      </c>
      <c r="B40" s="104" t="s">
        <v>85</v>
      </c>
      <c r="C40" s="104" t="s">
        <v>1470</v>
      </c>
      <c r="D40" s="104">
        <v>1</v>
      </c>
      <c r="E40" s="104" t="s">
        <v>1466</v>
      </c>
      <c r="F40" s="104">
        <v>0</v>
      </c>
      <c r="G40" s="104" t="s">
        <v>1484</v>
      </c>
      <c r="H40" s="104" t="s">
        <v>1538</v>
      </c>
      <c r="I40" s="65" t="str">
        <f>A40&amp;" "&amp;VLOOKUP("round_"&amp;B40,langTable,MATCH(langName,_lang!$A$1:$F$1,0),FALSE)&amp;": "&amp;C40&amp;" "&amp;G40&amp;" "&amp;E40</f>
        <v>2006 Quarter-final: France 1-0 Brazil</v>
      </c>
    </row>
    <row r="41" spans="1:9" ht="15" customHeight="1">
      <c r="A41" s="104">
        <v>2006</v>
      </c>
      <c r="B41" s="104" t="s">
        <v>85</v>
      </c>
      <c r="C41" s="104" t="s">
        <v>1505</v>
      </c>
      <c r="D41" s="104">
        <v>1</v>
      </c>
      <c r="E41" s="104" t="s">
        <v>1469</v>
      </c>
      <c r="F41" s="104">
        <v>1</v>
      </c>
      <c r="G41" s="104" t="s">
        <v>1467</v>
      </c>
      <c r="H41" s="104" t="s">
        <v>1517</v>
      </c>
      <c r="I41" s="65" t="str">
        <f>A41&amp;" "&amp;VLOOKUP("round_"&amp;B41,langTable,MATCH(langName,_lang!$A$1:$F$1,0),FALSE)&amp;": "&amp;C41&amp;" "&amp;G41&amp;" "&amp;E41</f>
        <v>2006 Quarter-final: Germany 1-1 Argentina</v>
      </c>
    </row>
    <row r="42" spans="1:9" ht="15" customHeight="1">
      <c r="A42" s="104">
        <v>2006</v>
      </c>
      <c r="B42" s="104" t="s">
        <v>97</v>
      </c>
      <c r="C42" s="104" t="s">
        <v>1536</v>
      </c>
      <c r="D42" s="104">
        <v>1</v>
      </c>
      <c r="E42" s="104" t="s">
        <v>1470</v>
      </c>
      <c r="F42" s="104">
        <v>1</v>
      </c>
      <c r="G42" s="104" t="s">
        <v>1467</v>
      </c>
      <c r="H42" s="104" t="s">
        <v>1539</v>
      </c>
      <c r="I42" s="65" t="str">
        <f>A42&amp;" "&amp;VLOOKUP("round_"&amp;B42,langTable,MATCH(langName,_lang!$A$1:$F$1,0),FALSE)&amp;": "&amp;C42&amp;" "&amp;G42&amp;" "&amp;E42</f>
        <v>2006 Final: Italy 1-1 France</v>
      </c>
    </row>
    <row r="43" spans="1:9" ht="15" customHeight="1">
      <c r="A43" s="104">
        <v>2006</v>
      </c>
      <c r="B43" s="104" t="s">
        <v>84</v>
      </c>
      <c r="C43" s="104" t="s">
        <v>1536</v>
      </c>
      <c r="D43" s="104">
        <v>1</v>
      </c>
      <c r="E43" s="104" t="s">
        <v>1491</v>
      </c>
      <c r="F43" s="104">
        <v>0</v>
      </c>
      <c r="G43" s="104" t="s">
        <v>1484</v>
      </c>
      <c r="H43" s="104" t="s">
        <v>1540</v>
      </c>
      <c r="I43" s="65" t="str">
        <f>A43&amp;" "&amp;VLOOKUP("round_"&amp;B43,langTable,MATCH(langName,_lang!$A$1:$F$1,0),FALSE)&amp;": "&amp;C43&amp;" "&amp;G43&amp;" "&amp;E43</f>
        <v>2006 R16: Italy 1-0 Australia</v>
      </c>
    </row>
    <row r="44" spans="1:9" ht="15" customHeight="1">
      <c r="A44" s="104">
        <v>2002</v>
      </c>
      <c r="B44" s="104" t="s">
        <v>97</v>
      </c>
      <c r="C44" s="104" t="s">
        <v>1466</v>
      </c>
      <c r="D44" s="104">
        <v>2</v>
      </c>
      <c r="E44" s="104" t="s">
        <v>1505</v>
      </c>
      <c r="F44" s="104">
        <v>0</v>
      </c>
      <c r="G44" s="104" t="s">
        <v>1495</v>
      </c>
      <c r="H44" s="104" t="s">
        <v>1516</v>
      </c>
      <c r="I44" s="65" t="str">
        <f>A44&amp;" "&amp;VLOOKUP("round_"&amp;B44,langTable,MATCH(langName,_lang!$A$1:$F$1,0),FALSE)&amp;": "&amp;C44&amp;" "&amp;G44&amp;" "&amp;E44</f>
        <v>2002 Final: Brazil 2-0 Germany</v>
      </c>
    </row>
    <row r="45" spans="1:9" ht="15" customHeight="1">
      <c r="A45" s="104">
        <v>2002</v>
      </c>
      <c r="B45" s="104" t="s">
        <v>85</v>
      </c>
      <c r="C45" s="104" t="s">
        <v>1466</v>
      </c>
      <c r="D45" s="104">
        <v>2</v>
      </c>
      <c r="E45" s="104" t="s">
        <v>1476</v>
      </c>
      <c r="F45" s="104">
        <v>1</v>
      </c>
      <c r="G45" s="104" t="s">
        <v>1477</v>
      </c>
      <c r="H45" s="104" t="s">
        <v>1541</v>
      </c>
      <c r="I45" s="65" t="str">
        <f>A45&amp;" "&amp;VLOOKUP("round_"&amp;B45,langTable,MATCH(langName,_lang!$A$1:$F$1,0),FALSE)&amp;": "&amp;C45&amp;" "&amp;G45&amp;" "&amp;E45</f>
        <v>2002 Quarter-final: Brazil 2-1 England</v>
      </c>
    </row>
    <row r="46" spans="1:9" ht="15" customHeight="1">
      <c r="A46" s="104">
        <v>2002</v>
      </c>
      <c r="B46" s="104" t="s">
        <v>85</v>
      </c>
      <c r="C46" s="104" t="s">
        <v>1505</v>
      </c>
      <c r="D46" s="104">
        <v>1</v>
      </c>
      <c r="E46" s="104" t="s">
        <v>1397</v>
      </c>
      <c r="F46" s="104">
        <v>0</v>
      </c>
      <c r="G46" s="104" t="s">
        <v>1484</v>
      </c>
      <c r="H46" s="104" t="s">
        <v>1542</v>
      </c>
      <c r="I46" s="65" t="str">
        <f>A46&amp;" "&amp;VLOOKUP("round_"&amp;B46,langTable,MATCH(langName,_lang!$A$1:$F$1,0),FALSE)&amp;": "&amp;C46&amp;" "&amp;G46&amp;" "&amp;E46</f>
        <v>2002 Quarter-final: Germany 1-0 USA</v>
      </c>
    </row>
    <row r="47" spans="1:9" ht="15" customHeight="1">
      <c r="A47" s="104">
        <v>2002</v>
      </c>
      <c r="B47" s="104" t="s">
        <v>85</v>
      </c>
      <c r="C47" s="104" t="s">
        <v>1543</v>
      </c>
      <c r="D47" s="104">
        <v>1</v>
      </c>
      <c r="E47" s="104" t="s">
        <v>1544</v>
      </c>
      <c r="F47" s="104">
        <v>0</v>
      </c>
      <c r="G47" s="104" t="s">
        <v>1484</v>
      </c>
      <c r="H47" s="104" t="s">
        <v>1545</v>
      </c>
      <c r="I47" s="65" t="str">
        <f>A47&amp;" "&amp;VLOOKUP("round_"&amp;B47,langTable,MATCH(langName,_lang!$A$1:$F$1,0),FALSE)&amp;": "&amp;C47&amp;" "&amp;G47&amp;" "&amp;E47</f>
        <v>2002 Quarter-final: Turkey 1-0 Senegal</v>
      </c>
    </row>
    <row r="48" spans="1:9" ht="15" customHeight="1">
      <c r="A48" s="104">
        <v>2002</v>
      </c>
      <c r="B48" s="104" t="s">
        <v>86</v>
      </c>
      <c r="C48" s="104" t="s">
        <v>1505</v>
      </c>
      <c r="D48" s="104">
        <v>1</v>
      </c>
      <c r="E48" s="104" t="s">
        <v>1546</v>
      </c>
      <c r="F48" s="104">
        <v>0</v>
      </c>
      <c r="G48" s="104" t="s">
        <v>1484</v>
      </c>
      <c r="H48" s="104" t="s">
        <v>1547</v>
      </c>
      <c r="I48" s="65" t="str">
        <f>A48&amp;" "&amp;VLOOKUP("round_"&amp;B48,langTable,MATCH(langName,_lang!$A$1:$F$1,0),FALSE)&amp;": "&amp;C48&amp;" "&amp;G48&amp;" "&amp;E48</f>
        <v>2002 Semi-final: Germany 1-0 South Korea</v>
      </c>
    </row>
    <row r="49" spans="1:9" ht="15" customHeight="1">
      <c r="A49" s="104">
        <v>2002</v>
      </c>
      <c r="B49" s="104" t="s">
        <v>84</v>
      </c>
      <c r="C49" s="104" t="s">
        <v>1543</v>
      </c>
      <c r="D49" s="104">
        <v>1</v>
      </c>
      <c r="E49" s="104" t="s">
        <v>1493</v>
      </c>
      <c r="F49" s="104">
        <v>0</v>
      </c>
      <c r="G49" s="104" t="s">
        <v>1484</v>
      </c>
      <c r="H49" s="104" t="s">
        <v>1548</v>
      </c>
      <c r="I49" s="65" t="str">
        <f>A49&amp;" "&amp;VLOOKUP("round_"&amp;B49,langTable,MATCH(langName,_lang!$A$1:$F$1,0),FALSE)&amp;": "&amp;C49&amp;" "&amp;G49&amp;" "&amp;E49</f>
        <v>2002 R16: Turkey 1-0 Japan</v>
      </c>
    </row>
    <row r="50" spans="1:9" ht="15" customHeight="1">
      <c r="A50" s="104">
        <v>2002</v>
      </c>
      <c r="B50" s="104" t="s">
        <v>1486</v>
      </c>
      <c r="C50" s="104" t="s">
        <v>1543</v>
      </c>
      <c r="D50" s="104">
        <v>3</v>
      </c>
      <c r="E50" s="104" t="s">
        <v>1546</v>
      </c>
      <c r="F50" s="104">
        <v>2</v>
      </c>
      <c r="G50" s="104" t="s">
        <v>1499</v>
      </c>
      <c r="H50" s="104" t="s">
        <v>1549</v>
      </c>
      <c r="I50" s="65" t="str">
        <f>A50&amp;" "&amp;VLOOKUP("round_"&amp;B50,langTable,MATCH(langName,_lang!$A$1:$F$1,0),FALSE)&amp;": "&amp;C50&amp;" "&amp;G50&amp;" "&amp;E50</f>
        <v>2002 3rd place: Turkey 3-2 South Korea</v>
      </c>
    </row>
    <row r="51" spans="1:9" ht="15" customHeight="1">
      <c r="A51" s="104">
        <v>1998</v>
      </c>
      <c r="B51" s="104" t="s">
        <v>97</v>
      </c>
      <c r="C51" s="104" t="s">
        <v>1470</v>
      </c>
      <c r="D51" s="104">
        <v>3</v>
      </c>
      <c r="E51" s="104" t="s">
        <v>1466</v>
      </c>
      <c r="F51" s="104">
        <v>0</v>
      </c>
      <c r="G51" s="104" t="s">
        <v>1550</v>
      </c>
      <c r="H51" s="104" t="s">
        <v>1538</v>
      </c>
      <c r="I51" s="65" t="str">
        <f>A51&amp;" "&amp;VLOOKUP("round_"&amp;B51,langTable,MATCH(langName,_lang!$A$1:$F$1,0),FALSE)&amp;": "&amp;C51&amp;" "&amp;G51&amp;" "&amp;E51</f>
        <v>1998 Final: France 3-0 Brazil</v>
      </c>
    </row>
    <row r="52" spans="1:9" ht="15" customHeight="1">
      <c r="A52" s="104">
        <v>1998</v>
      </c>
      <c r="B52" s="104" t="s">
        <v>84</v>
      </c>
      <c r="C52" s="104" t="s">
        <v>1469</v>
      </c>
      <c r="D52" s="104">
        <v>2</v>
      </c>
      <c r="E52" s="104" t="s">
        <v>1476</v>
      </c>
      <c r="F52" s="104">
        <v>2</v>
      </c>
      <c r="G52" s="104" t="s">
        <v>1474</v>
      </c>
      <c r="H52" s="104" t="s">
        <v>1551</v>
      </c>
      <c r="I52" s="65" t="str">
        <f>A52&amp;" "&amp;VLOOKUP("round_"&amp;B52,langTable,MATCH(langName,_lang!$A$1:$F$1,0),FALSE)&amp;": "&amp;C52&amp;" "&amp;G52&amp;" "&amp;E52</f>
        <v>1998 R16: Argentina 2-2 England</v>
      </c>
    </row>
    <row r="53" spans="1:9" ht="15" customHeight="1">
      <c r="A53" s="104">
        <v>1998</v>
      </c>
      <c r="B53" s="104" t="s">
        <v>97</v>
      </c>
      <c r="C53" s="104" t="s">
        <v>1470</v>
      </c>
      <c r="D53" s="104">
        <v>3</v>
      </c>
      <c r="E53" s="104" t="s">
        <v>1466</v>
      </c>
      <c r="F53" s="104">
        <v>0</v>
      </c>
      <c r="G53" s="104" t="s">
        <v>1550</v>
      </c>
      <c r="H53" s="104" t="s">
        <v>1538</v>
      </c>
      <c r="I53" s="65" t="str">
        <f>A53&amp;" "&amp;VLOOKUP("round_"&amp;B53,langTable,MATCH(langName,_lang!$A$1:$F$1,0),FALSE)&amp;": "&amp;C53&amp;" "&amp;G53&amp;" "&amp;E53</f>
        <v>1998 Final: France 3-0 Brazil</v>
      </c>
    </row>
    <row r="54" spans="1:9" ht="15" customHeight="1">
      <c r="A54" s="104">
        <v>1998</v>
      </c>
      <c r="B54" s="104" t="s">
        <v>1486</v>
      </c>
      <c r="C54" s="104" t="s">
        <v>1465</v>
      </c>
      <c r="D54" s="104">
        <v>2</v>
      </c>
      <c r="E54" s="104" t="s">
        <v>1473</v>
      </c>
      <c r="F54" s="104">
        <v>1</v>
      </c>
      <c r="G54" s="104" t="s">
        <v>1477</v>
      </c>
      <c r="H54" s="104" t="s">
        <v>1552</v>
      </c>
      <c r="I54" s="65" t="str">
        <f>A54&amp;" "&amp;VLOOKUP("round_"&amp;B54,langTable,MATCH(langName,_lang!$A$1:$F$1,0),FALSE)&amp;": "&amp;C54&amp;" "&amp;G54&amp;" "&amp;E54</f>
        <v>1998 3rd place: Croatia 2-1 Netherlands</v>
      </c>
    </row>
    <row r="55" spans="1:9" ht="15" customHeight="1">
      <c r="A55" s="104">
        <v>1998</v>
      </c>
      <c r="B55" s="104" t="s">
        <v>1497</v>
      </c>
      <c r="C55" s="104" t="s">
        <v>1553</v>
      </c>
      <c r="D55" s="104">
        <v>2</v>
      </c>
      <c r="E55" s="104" t="s">
        <v>1397</v>
      </c>
      <c r="F55" s="104">
        <v>1</v>
      </c>
      <c r="G55" s="104" t="s">
        <v>1477</v>
      </c>
      <c r="H55" s="104" t="s">
        <v>1554</v>
      </c>
      <c r="I55" s="65" t="str">
        <f>A55&amp;" "&amp;VLOOKUP("round_"&amp;B55,langTable,MATCH(langName,_lang!$A$1:$F$1,0),FALSE)&amp;": "&amp;C55&amp;" "&amp;G55&amp;" "&amp;E55</f>
        <v>1998 Group: Iran 2-1 USA</v>
      </c>
    </row>
    <row r="56" spans="1:9" ht="15" customHeight="1">
      <c r="A56" s="104">
        <v>1998</v>
      </c>
      <c r="B56" s="104" t="s">
        <v>1497</v>
      </c>
      <c r="C56" s="104" t="s">
        <v>1466</v>
      </c>
      <c r="D56" s="104">
        <v>3</v>
      </c>
      <c r="E56" s="104" t="s">
        <v>1479</v>
      </c>
      <c r="F56" s="104">
        <v>0</v>
      </c>
      <c r="G56" s="104" t="s">
        <v>1550</v>
      </c>
      <c r="H56" s="104" t="s">
        <v>1555</v>
      </c>
      <c r="I56" s="65" t="str">
        <f>A56&amp;" "&amp;VLOOKUP("round_"&amp;B56,langTable,MATCH(langName,_lang!$A$1:$F$1,0),FALSE)&amp;": "&amp;C56&amp;" "&amp;G56&amp;" "&amp;E56</f>
        <v>1998 Group: Brazil 3-0 Morocco</v>
      </c>
    </row>
    <row r="57" spans="1:9" ht="15" customHeight="1">
      <c r="A57" s="104">
        <v>1998</v>
      </c>
      <c r="B57" s="104" t="s">
        <v>1497</v>
      </c>
      <c r="C57" s="104" t="s">
        <v>1556</v>
      </c>
      <c r="D57" s="104">
        <v>2</v>
      </c>
      <c r="E57" s="104" t="s">
        <v>1466</v>
      </c>
      <c r="F57" s="104">
        <v>1</v>
      </c>
      <c r="G57" s="104" t="s">
        <v>1477</v>
      </c>
      <c r="H57" s="104" t="s">
        <v>1557</v>
      </c>
      <c r="I57" s="65" t="str">
        <f>A57&amp;" "&amp;VLOOKUP("round_"&amp;B57,langTable,MATCH(langName,_lang!$A$1:$F$1,0),FALSE)&amp;": "&amp;C57&amp;" "&amp;G57&amp;" "&amp;E57</f>
        <v>1998 Group: Norway 2-1 Brazil</v>
      </c>
    </row>
    <row r="58" spans="1:9" ht="15" customHeight="1">
      <c r="A58" s="104">
        <v>1994</v>
      </c>
      <c r="B58" s="104" t="s">
        <v>97</v>
      </c>
      <c r="C58" s="104" t="s">
        <v>1466</v>
      </c>
      <c r="D58" s="104">
        <v>0</v>
      </c>
      <c r="E58" s="104" t="s">
        <v>1536</v>
      </c>
      <c r="F58" s="104">
        <v>0</v>
      </c>
      <c r="G58" s="104" t="s">
        <v>1481</v>
      </c>
      <c r="H58" s="104" t="s">
        <v>1558</v>
      </c>
      <c r="I58" s="65" t="str">
        <f>A58&amp;" "&amp;VLOOKUP("round_"&amp;B58,langTable,MATCH(langName,_lang!$A$1:$F$1,0),FALSE)&amp;": "&amp;C58&amp;" "&amp;G58&amp;" "&amp;E58</f>
        <v>1994 Final: Brazil 0-0 Italy</v>
      </c>
    </row>
    <row r="59" spans="1:9" ht="15" customHeight="1">
      <c r="A59" s="104">
        <v>1994</v>
      </c>
      <c r="B59" s="104" t="s">
        <v>84</v>
      </c>
      <c r="C59" s="104" t="s">
        <v>1559</v>
      </c>
      <c r="D59" s="104">
        <v>1</v>
      </c>
      <c r="E59" s="104" t="s">
        <v>1390</v>
      </c>
      <c r="F59" s="104">
        <v>1</v>
      </c>
      <c r="G59" s="104" t="s">
        <v>1467</v>
      </c>
      <c r="H59" s="104" t="s">
        <v>1560</v>
      </c>
      <c r="I59" s="65" t="str">
        <f>A59&amp;" "&amp;VLOOKUP("round_"&amp;B59,langTable,MATCH(langName,_lang!$A$1:$F$1,0),FALSE)&amp;": "&amp;C59&amp;" "&amp;G59&amp;" "&amp;E59</f>
        <v>1994 R16: Bulgaria 1-1 Mexico</v>
      </c>
    </row>
    <row r="60" spans="1:9" ht="15" customHeight="1">
      <c r="A60" s="104">
        <v>1994</v>
      </c>
      <c r="B60" s="104" t="s">
        <v>84</v>
      </c>
      <c r="C60" s="104" t="s">
        <v>1561</v>
      </c>
      <c r="D60" s="104">
        <v>3</v>
      </c>
      <c r="E60" s="104" t="s">
        <v>1562</v>
      </c>
      <c r="F60" s="104">
        <v>1</v>
      </c>
      <c r="G60" s="104" t="s">
        <v>1563</v>
      </c>
      <c r="H60" s="104" t="s">
        <v>1564</v>
      </c>
      <c r="I60" s="65" t="str">
        <f>A60&amp;" "&amp;VLOOKUP("round_"&amp;B60,langTable,MATCH(langName,_lang!$A$1:$F$1,0),FALSE)&amp;": "&amp;C60&amp;" "&amp;G60&amp;" "&amp;E60</f>
        <v>1994 R16: Sweden 3-1 Saudi Arabia</v>
      </c>
    </row>
    <row r="61" spans="1:9" ht="15" customHeight="1">
      <c r="A61" s="104">
        <v>1994</v>
      </c>
      <c r="B61" s="104" t="s">
        <v>1497</v>
      </c>
      <c r="C61" s="104" t="s">
        <v>1397</v>
      </c>
      <c r="D61" s="104">
        <v>2</v>
      </c>
      <c r="E61" s="104" t="s">
        <v>1511</v>
      </c>
      <c r="F61" s="104">
        <v>1</v>
      </c>
      <c r="G61" s="104" t="s">
        <v>1477</v>
      </c>
      <c r="H61" s="104" t="s">
        <v>1565</v>
      </c>
      <c r="I61" s="65" t="str">
        <f>A61&amp;" "&amp;VLOOKUP("round_"&amp;B61,langTable,MATCH(langName,_lang!$A$1:$F$1,0),FALSE)&amp;": "&amp;C61&amp;" "&amp;G61&amp;" "&amp;E61</f>
        <v>1994 Group: USA 2-1 Colombia</v>
      </c>
    </row>
    <row r="62" spans="1:9" ht="15" customHeight="1">
      <c r="A62" s="104">
        <v>1990</v>
      </c>
      <c r="B62" s="104" t="s">
        <v>97</v>
      </c>
      <c r="C62" s="104" t="s">
        <v>1505</v>
      </c>
      <c r="D62" s="104">
        <v>1</v>
      </c>
      <c r="E62" s="104" t="s">
        <v>1469</v>
      </c>
      <c r="F62" s="104">
        <v>0</v>
      </c>
      <c r="G62" s="104" t="s">
        <v>1484</v>
      </c>
      <c r="H62" s="104" t="s">
        <v>1517</v>
      </c>
      <c r="I62" s="65" t="str">
        <f>A62&amp;" "&amp;VLOOKUP("round_"&amp;B62,langTable,MATCH(langName,_lang!$A$1:$F$1,0),FALSE)&amp;": "&amp;C62&amp;" "&amp;G62&amp;" "&amp;E62</f>
        <v>1990 Final: Germany 1-0 Argentina</v>
      </c>
    </row>
    <row r="63" spans="1:9" ht="15" customHeight="1">
      <c r="A63" s="104">
        <v>1990</v>
      </c>
      <c r="B63" s="104" t="s">
        <v>84</v>
      </c>
      <c r="C63" s="104" t="s">
        <v>1469</v>
      </c>
      <c r="D63" s="104">
        <v>1</v>
      </c>
      <c r="E63" s="104" t="s">
        <v>1466</v>
      </c>
      <c r="F63" s="104">
        <v>0</v>
      </c>
      <c r="G63" s="104" t="s">
        <v>1484</v>
      </c>
      <c r="H63" s="104" t="s">
        <v>1566</v>
      </c>
      <c r="I63" s="65" t="str">
        <f>A63&amp;" "&amp;VLOOKUP("round_"&amp;B63,langTable,MATCH(langName,_lang!$A$1:$F$1,0),FALSE)&amp;": "&amp;C63&amp;" "&amp;G63&amp;" "&amp;E63</f>
        <v>1990 R16: Argentina 1-0 Brazil</v>
      </c>
    </row>
    <row r="64" spans="1:9" ht="15" customHeight="1">
      <c r="A64" s="104">
        <v>1990</v>
      </c>
      <c r="B64" s="104" t="s">
        <v>84</v>
      </c>
      <c r="C64" s="104" t="s">
        <v>1505</v>
      </c>
      <c r="D64" s="104">
        <v>2</v>
      </c>
      <c r="E64" s="104" t="s">
        <v>1473</v>
      </c>
      <c r="F64" s="104">
        <v>1</v>
      </c>
      <c r="G64" s="104" t="s">
        <v>1477</v>
      </c>
      <c r="H64" s="104" t="s">
        <v>1567</v>
      </c>
      <c r="I64" s="65" t="str">
        <f>A64&amp;" "&amp;VLOOKUP("round_"&amp;B64,langTable,MATCH(langName,_lang!$A$1:$F$1,0),FALSE)&amp;": "&amp;C64&amp;" "&amp;G64&amp;" "&amp;E64</f>
        <v>1990 R16: Germany 2-1 Netherlands</v>
      </c>
    </row>
    <row r="65" spans="1:9" ht="15" customHeight="1">
      <c r="A65" s="104">
        <v>1990</v>
      </c>
      <c r="B65" s="104" t="s">
        <v>86</v>
      </c>
      <c r="C65" s="104" t="s">
        <v>1505</v>
      </c>
      <c r="D65" s="104">
        <v>1</v>
      </c>
      <c r="E65" s="104" t="s">
        <v>1476</v>
      </c>
      <c r="F65" s="104">
        <v>1</v>
      </c>
      <c r="G65" s="104" t="s">
        <v>1467</v>
      </c>
      <c r="H65" s="104" t="s">
        <v>1529</v>
      </c>
      <c r="I65" s="65" t="str">
        <f>A65&amp;" "&amp;VLOOKUP("round_"&amp;B65,langTable,MATCH(langName,_lang!$A$1:$F$1,0),FALSE)&amp;": "&amp;C65&amp;" "&amp;G65&amp;" "&amp;E65</f>
        <v>1990 Semi-final: Germany 1-1 England</v>
      </c>
    </row>
    <row r="66" spans="1:9" ht="15" customHeight="1">
      <c r="A66" s="104">
        <v>1990</v>
      </c>
      <c r="B66" s="104" t="s">
        <v>1497</v>
      </c>
      <c r="C66" s="104" t="s">
        <v>1476</v>
      </c>
      <c r="D66" s="104">
        <v>1</v>
      </c>
      <c r="E66" s="104" t="s">
        <v>1568</v>
      </c>
      <c r="F66" s="104">
        <v>0</v>
      </c>
      <c r="G66" s="104" t="s">
        <v>1484</v>
      </c>
      <c r="H66" s="104" t="s">
        <v>1569</v>
      </c>
      <c r="I66" s="65" t="str">
        <f>A66&amp;" "&amp;VLOOKUP("round_"&amp;B66,langTable,MATCH(langName,_lang!$A$1:$F$1,0),FALSE)&amp;": "&amp;C66&amp;" "&amp;G66&amp;" "&amp;E66</f>
        <v>1990 Group: England 1-0 Egypt</v>
      </c>
    </row>
    <row r="67" spans="1:9" ht="15" customHeight="1">
      <c r="A67" s="104">
        <v>1990</v>
      </c>
      <c r="B67" s="104" t="s">
        <v>1497</v>
      </c>
      <c r="C67" s="104" t="s">
        <v>1570</v>
      </c>
      <c r="D67" s="104">
        <v>1</v>
      </c>
      <c r="E67" s="104" t="s">
        <v>1561</v>
      </c>
      <c r="F67" s="104">
        <v>0</v>
      </c>
      <c r="G67" s="104" t="s">
        <v>1484</v>
      </c>
      <c r="H67" s="104" t="s">
        <v>1571</v>
      </c>
      <c r="I67" s="65" t="str">
        <f>A67&amp;" "&amp;VLOOKUP("round_"&amp;B67,langTable,MATCH(langName,_lang!$A$1:$F$1,0),FALSE)&amp;": "&amp;C67&amp;" "&amp;G67&amp;" "&amp;E67</f>
        <v>1990 Group: Scotland 1-0 Sweden</v>
      </c>
    </row>
    <row r="68" spans="1:9" ht="15" customHeight="1">
      <c r="A68" s="104">
        <v>1986</v>
      </c>
      <c r="B68" s="104" t="s">
        <v>85</v>
      </c>
      <c r="C68" s="104" t="s">
        <v>1470</v>
      </c>
      <c r="D68" s="104">
        <v>1</v>
      </c>
      <c r="E68" s="104" t="s">
        <v>1466</v>
      </c>
      <c r="F68" s="104">
        <v>1</v>
      </c>
      <c r="G68" s="104" t="s">
        <v>1467</v>
      </c>
      <c r="H68" s="104" t="s">
        <v>1538</v>
      </c>
      <c r="I68" s="65" t="str">
        <f>A68&amp;" "&amp;VLOOKUP("round_"&amp;B68,langTable,MATCH(langName,_lang!$A$1:$F$1,0),FALSE)&amp;": "&amp;C68&amp;" "&amp;G68&amp;" "&amp;E68</f>
        <v>1986 Quarter-final: France 1-1 Brazil</v>
      </c>
    </row>
    <row r="69" spans="1:9" ht="15" customHeight="1">
      <c r="A69" s="104">
        <v>1986</v>
      </c>
      <c r="B69" s="104" t="s">
        <v>97</v>
      </c>
      <c r="C69" s="104" t="s">
        <v>1469</v>
      </c>
      <c r="D69" s="104">
        <v>3</v>
      </c>
      <c r="E69" s="104" t="s">
        <v>1505</v>
      </c>
      <c r="F69" s="104">
        <v>2</v>
      </c>
      <c r="G69" s="104" t="s">
        <v>1499</v>
      </c>
      <c r="H69" s="104" t="s">
        <v>1517</v>
      </c>
      <c r="I69" s="65" t="str">
        <f>A69&amp;" "&amp;VLOOKUP("round_"&amp;B69,langTable,MATCH(langName,_lang!$A$1:$F$1,0),FALSE)&amp;": "&amp;C69&amp;" "&amp;G69&amp;" "&amp;E69</f>
        <v>1986 Final: Argentina 3-2 Germany</v>
      </c>
    </row>
    <row r="70" spans="1:9" ht="15" customHeight="1">
      <c r="A70" s="104">
        <v>1986</v>
      </c>
      <c r="B70" s="104" t="s">
        <v>85</v>
      </c>
      <c r="C70" s="104" t="s">
        <v>1469</v>
      </c>
      <c r="D70" s="104">
        <v>2</v>
      </c>
      <c r="E70" s="104" t="s">
        <v>1476</v>
      </c>
      <c r="F70" s="104">
        <v>1</v>
      </c>
      <c r="G70" s="104" t="s">
        <v>1477</v>
      </c>
      <c r="H70" s="104" t="s">
        <v>1551</v>
      </c>
      <c r="I70" s="65" t="str">
        <f>A70&amp;" "&amp;VLOOKUP("round_"&amp;B70,langTable,MATCH(langName,_lang!$A$1:$F$1,0),FALSE)&amp;": "&amp;C70&amp;" "&amp;G70&amp;" "&amp;E70</f>
        <v>1986 Quarter-final: Argentina 2-1 England</v>
      </c>
    </row>
    <row r="71" spans="1:9" ht="15" customHeight="1">
      <c r="A71" s="104">
        <v>1986</v>
      </c>
      <c r="B71" s="104" t="s">
        <v>85</v>
      </c>
      <c r="C71" s="104" t="s">
        <v>1469</v>
      </c>
      <c r="D71" s="104">
        <v>2</v>
      </c>
      <c r="E71" s="104" t="s">
        <v>1476</v>
      </c>
      <c r="F71" s="104">
        <v>1</v>
      </c>
      <c r="G71" s="104" t="s">
        <v>1477</v>
      </c>
      <c r="H71" s="104" t="s">
        <v>1551</v>
      </c>
      <c r="I71" s="65" t="str">
        <f>A71&amp;" "&amp;VLOOKUP("round_"&amp;B71,langTable,MATCH(langName,_lang!$A$1:$F$1,0),FALSE)&amp;": "&amp;C71&amp;" "&amp;G71&amp;" "&amp;E71</f>
        <v>1986 Quarter-final: Argentina 2-1 England</v>
      </c>
    </row>
    <row r="72" spans="1:9" ht="15" customHeight="1">
      <c r="A72" s="104">
        <v>1986</v>
      </c>
      <c r="B72" s="104" t="s">
        <v>85</v>
      </c>
      <c r="C72" s="104" t="s">
        <v>1505</v>
      </c>
      <c r="D72" s="104">
        <v>0</v>
      </c>
      <c r="E72" s="104" t="s">
        <v>1390</v>
      </c>
      <c r="F72" s="104">
        <v>0</v>
      </c>
      <c r="G72" s="104" t="s">
        <v>1481</v>
      </c>
      <c r="H72" s="104" t="s">
        <v>1506</v>
      </c>
      <c r="I72" s="65" t="str">
        <f>A72&amp;" "&amp;VLOOKUP("round_"&amp;B72,langTable,MATCH(langName,_lang!$A$1:$F$1,0),FALSE)&amp;": "&amp;C72&amp;" "&amp;G72&amp;" "&amp;E72</f>
        <v>1986 Quarter-final: Germany 0-0 Mexico</v>
      </c>
    </row>
    <row r="73" spans="1:9" ht="15" customHeight="1">
      <c r="A73" s="104">
        <v>1986</v>
      </c>
      <c r="B73" s="104" t="s">
        <v>86</v>
      </c>
      <c r="C73" s="104" t="s">
        <v>1469</v>
      </c>
      <c r="D73" s="104">
        <v>2</v>
      </c>
      <c r="E73" s="104" t="s">
        <v>1501</v>
      </c>
      <c r="F73" s="104">
        <v>0</v>
      </c>
      <c r="G73" s="104" t="s">
        <v>1495</v>
      </c>
      <c r="H73" s="104" t="s">
        <v>1572</v>
      </c>
      <c r="I73" s="65" t="str">
        <f>A73&amp;" "&amp;VLOOKUP("round_"&amp;B73,langTable,MATCH(langName,_lang!$A$1:$F$1,0),FALSE)&amp;": "&amp;C73&amp;" "&amp;G73&amp;" "&amp;E73</f>
        <v>1986 Semi-final: Argentina 2-0 Belgium</v>
      </c>
    </row>
    <row r="74" spans="1:9" ht="15" customHeight="1">
      <c r="A74" s="104">
        <v>1986</v>
      </c>
      <c r="B74" s="104" t="s">
        <v>84</v>
      </c>
      <c r="C74" s="104" t="s">
        <v>1505</v>
      </c>
      <c r="D74" s="104">
        <v>1</v>
      </c>
      <c r="E74" s="104" t="s">
        <v>1479</v>
      </c>
      <c r="F74" s="104">
        <v>0</v>
      </c>
      <c r="G74" s="104" t="s">
        <v>1484</v>
      </c>
      <c r="H74" s="104" t="s">
        <v>1573</v>
      </c>
      <c r="I74" s="65" t="str">
        <f>A74&amp;" "&amp;VLOOKUP("round_"&amp;B74,langTable,MATCH(langName,_lang!$A$1:$F$1,0),FALSE)&amp;": "&amp;C74&amp;" "&amp;G74&amp;" "&amp;E74</f>
        <v>1986 R16: Germany 1-0 Morocco</v>
      </c>
    </row>
    <row r="75" spans="1:9" ht="15" customHeight="1">
      <c r="A75" s="104">
        <v>1986</v>
      </c>
      <c r="B75" s="104" t="s">
        <v>1497</v>
      </c>
      <c r="C75" s="104" t="s">
        <v>1574</v>
      </c>
      <c r="D75" s="104">
        <v>0</v>
      </c>
      <c r="E75" s="104" t="s">
        <v>1501</v>
      </c>
      <c r="F75" s="104">
        <v>2</v>
      </c>
      <c r="G75" s="104" t="s">
        <v>1575</v>
      </c>
      <c r="H75" s="104" t="s">
        <v>1576</v>
      </c>
      <c r="I75" s="65" t="str">
        <f>A75&amp;" "&amp;VLOOKUP("round_"&amp;B75,langTable,MATCH(langName,_lang!$A$1:$F$1,0),FALSE)&amp;": "&amp;C75&amp;" "&amp;G75&amp;" "&amp;E75</f>
        <v>1986 Group: Iraq 0-2 Belgium</v>
      </c>
    </row>
    <row r="76" spans="1:9" ht="15" customHeight="1">
      <c r="A76" s="104">
        <v>1978</v>
      </c>
      <c r="B76" s="104" t="s">
        <v>97</v>
      </c>
      <c r="C76" s="104" t="s">
        <v>1469</v>
      </c>
      <c r="D76" s="104">
        <v>3</v>
      </c>
      <c r="E76" s="104" t="s">
        <v>1473</v>
      </c>
      <c r="F76" s="104">
        <v>1</v>
      </c>
      <c r="G76" s="104" t="s">
        <v>1563</v>
      </c>
      <c r="H76" s="104" t="s">
        <v>1475</v>
      </c>
      <c r="I76" s="65" t="str">
        <f>A76&amp;" "&amp;VLOOKUP("round_"&amp;B76,langTable,MATCH(langName,_lang!$A$1:$F$1,0),FALSE)&amp;": "&amp;C76&amp;" "&amp;G76&amp;" "&amp;E76</f>
        <v>1978 Final: Argentina 3-1 Netherlands</v>
      </c>
    </row>
    <row r="77" spans="1:9" ht="15" customHeight="1">
      <c r="A77" s="104">
        <v>1978</v>
      </c>
      <c r="B77" s="104" t="s">
        <v>1497</v>
      </c>
      <c r="C77" s="104" t="s">
        <v>1577</v>
      </c>
      <c r="D77" s="104">
        <v>3</v>
      </c>
      <c r="E77" s="104" t="s">
        <v>1390</v>
      </c>
      <c r="F77" s="104">
        <v>1</v>
      </c>
      <c r="G77" s="104" t="s">
        <v>1563</v>
      </c>
      <c r="H77" s="104" t="s">
        <v>1578</v>
      </c>
      <c r="I77" s="65" t="str">
        <f>A77&amp;" "&amp;VLOOKUP("round_"&amp;B77,langTable,MATCH(langName,_lang!$A$1:$F$1,0),FALSE)&amp;": "&amp;C77&amp;" "&amp;G77&amp;" "&amp;E77</f>
        <v>1978 Group: Tunisia 3-1 Mexico</v>
      </c>
    </row>
    <row r="78" spans="1:9" ht="15" customHeight="1">
      <c r="A78" s="104">
        <v>1978</v>
      </c>
      <c r="B78" s="104" t="s">
        <v>1497</v>
      </c>
      <c r="C78" s="104" t="s">
        <v>1570</v>
      </c>
      <c r="D78" s="104">
        <v>3</v>
      </c>
      <c r="E78" s="104" t="s">
        <v>1473</v>
      </c>
      <c r="F78" s="104">
        <v>2</v>
      </c>
      <c r="G78" s="104" t="s">
        <v>1499</v>
      </c>
      <c r="H78" s="104" t="s">
        <v>1579</v>
      </c>
      <c r="I78" s="65" t="str">
        <f>A78&amp;" "&amp;VLOOKUP("round_"&amp;B78,langTable,MATCH(langName,_lang!$A$1:$F$1,0),FALSE)&amp;": "&amp;C78&amp;" "&amp;G78&amp;" "&amp;E78</f>
        <v>1978 Group: Scotland 3-2 Netherlands</v>
      </c>
    </row>
    <row r="79" spans="1:9" ht="15" customHeight="1">
      <c r="A79" s="104">
        <v>1978</v>
      </c>
      <c r="B79" s="104" t="s">
        <v>1497</v>
      </c>
      <c r="C79" s="104" t="s">
        <v>1580</v>
      </c>
      <c r="D79" s="104">
        <v>3</v>
      </c>
      <c r="E79" s="104" t="s">
        <v>1505</v>
      </c>
      <c r="F79" s="104">
        <v>2</v>
      </c>
      <c r="G79" s="104" t="s">
        <v>1499</v>
      </c>
      <c r="H79" s="104" t="s">
        <v>1581</v>
      </c>
      <c r="I79" s="65" t="str">
        <f>A79&amp;" "&amp;VLOOKUP("round_"&amp;B79,langTable,MATCH(langName,_lang!$A$1:$F$1,0),FALSE)&amp;": "&amp;C79&amp;" "&amp;G79&amp;" "&amp;E79</f>
        <v>1978 Group: Austria 3-2 Germany</v>
      </c>
    </row>
    <row r="80" spans="1:9" ht="15" customHeight="1">
      <c r="A80" s="104">
        <v>1974</v>
      </c>
      <c r="B80" s="104" t="s">
        <v>97</v>
      </c>
      <c r="C80" s="104" t="s">
        <v>1505</v>
      </c>
      <c r="D80" s="104">
        <v>2</v>
      </c>
      <c r="E80" s="104" t="s">
        <v>1473</v>
      </c>
      <c r="F80" s="104">
        <v>1</v>
      </c>
      <c r="G80" s="104" t="s">
        <v>1477</v>
      </c>
      <c r="H80" s="104" t="s">
        <v>1567</v>
      </c>
      <c r="I80" s="65" t="str">
        <f>A80&amp;" "&amp;VLOOKUP("round_"&amp;B80,langTable,MATCH(langName,_lang!$A$1:$F$1,0),FALSE)&amp;": "&amp;C80&amp;" "&amp;G80&amp;" "&amp;E80</f>
        <v>1974 Final: Germany 2-1 Netherlands</v>
      </c>
    </row>
    <row r="81" spans="1:9" ht="15" customHeight="1">
      <c r="A81" s="104">
        <v>1974</v>
      </c>
      <c r="B81" s="104" t="s">
        <v>97</v>
      </c>
      <c r="C81" s="104" t="s">
        <v>1505</v>
      </c>
      <c r="D81" s="104">
        <v>2</v>
      </c>
      <c r="E81" s="104" t="s">
        <v>1473</v>
      </c>
      <c r="F81" s="104">
        <v>1</v>
      </c>
      <c r="G81" s="104" t="s">
        <v>1477</v>
      </c>
      <c r="H81" s="104" t="s">
        <v>1567</v>
      </c>
      <c r="I81" s="65" t="str">
        <f>A81&amp;" "&amp;VLOOKUP("round_"&amp;B81,langTable,MATCH(langName,_lang!$A$1:$F$1,0),FALSE)&amp;": "&amp;C81&amp;" "&amp;G81&amp;" "&amp;E81</f>
        <v>1974 Final: Germany 2-1 Netherlands</v>
      </c>
    </row>
    <row r="82" spans="1:9" ht="15" customHeight="1">
      <c r="A82" s="104">
        <v>1974</v>
      </c>
      <c r="B82" s="104" t="s">
        <v>1497</v>
      </c>
      <c r="C82" s="104" t="s">
        <v>1536</v>
      </c>
      <c r="D82" s="104">
        <v>3</v>
      </c>
      <c r="E82" s="104" t="s">
        <v>1582</v>
      </c>
      <c r="F82" s="104">
        <v>1</v>
      </c>
      <c r="G82" s="104" t="s">
        <v>1563</v>
      </c>
      <c r="H82" s="104" t="s">
        <v>1583</v>
      </c>
      <c r="I82" s="65" t="str">
        <f>A82&amp;" "&amp;VLOOKUP("round_"&amp;B82,langTable,MATCH(langName,_lang!$A$1:$F$1,0),FALSE)&amp;": "&amp;C82&amp;" "&amp;G82&amp;" "&amp;E82</f>
        <v>1974 Group: Italy 3-1 Haiti</v>
      </c>
    </row>
    <row r="83" spans="1:9" ht="15" customHeight="1">
      <c r="A83" s="104">
        <v>1970</v>
      </c>
      <c r="B83" s="104" t="s">
        <v>97</v>
      </c>
      <c r="C83" s="104" t="s">
        <v>1466</v>
      </c>
      <c r="D83" s="104">
        <v>4</v>
      </c>
      <c r="E83" s="104" t="s">
        <v>1536</v>
      </c>
      <c r="F83" s="104">
        <v>1</v>
      </c>
      <c r="G83" s="104" t="s">
        <v>1528</v>
      </c>
      <c r="H83" s="104" t="s">
        <v>1558</v>
      </c>
      <c r="I83" s="65" t="str">
        <f>A83&amp;" "&amp;VLOOKUP("round_"&amp;B83,langTable,MATCH(langName,_lang!$A$1:$F$1,0),FALSE)&amp;": "&amp;C83&amp;" "&amp;G83&amp;" "&amp;E83</f>
        <v>1970 Final: Brazil 4-1 Italy</v>
      </c>
    </row>
    <row r="84" spans="1:9" ht="15" customHeight="1">
      <c r="A84" s="104">
        <v>1966</v>
      </c>
      <c r="B84" s="104" t="s">
        <v>97</v>
      </c>
      <c r="C84" s="104" t="s">
        <v>1476</v>
      </c>
      <c r="D84" s="104">
        <v>4</v>
      </c>
      <c r="E84" s="104" t="s">
        <v>1505</v>
      </c>
      <c r="F84" s="104">
        <v>2</v>
      </c>
      <c r="G84" s="104" t="s">
        <v>1508</v>
      </c>
      <c r="H84" s="104" t="s">
        <v>1529</v>
      </c>
      <c r="I84" s="65" t="str">
        <f>A84&amp;" "&amp;VLOOKUP("round_"&amp;B84,langTable,MATCH(langName,_lang!$A$1:$F$1,0),FALSE)&amp;": "&amp;C84&amp;" "&amp;G84&amp;" "&amp;E84</f>
        <v>1966 Final: England 4-2 Germany</v>
      </c>
    </row>
    <row r="85" spans="1:9" ht="15" customHeight="1">
      <c r="A85" s="104">
        <v>1966</v>
      </c>
      <c r="B85" s="104" t="s">
        <v>1486</v>
      </c>
      <c r="C85" s="104" t="s">
        <v>1483</v>
      </c>
      <c r="D85" s="104">
        <v>2</v>
      </c>
      <c r="E85" s="104" t="s">
        <v>1584</v>
      </c>
      <c r="F85" s="104">
        <v>1</v>
      </c>
      <c r="G85" s="104" t="s">
        <v>1477</v>
      </c>
      <c r="H85" s="104" t="s">
        <v>1585</v>
      </c>
      <c r="I85" s="65" t="str">
        <f>A85&amp;" "&amp;VLOOKUP("round_"&amp;B85,langTable,MATCH(langName,_lang!$A$1:$F$1,0),FALSE)&amp;": "&amp;C85&amp;" "&amp;G85&amp;" "&amp;E85</f>
        <v>1966 3rd place: Portugal 2-1 USSR</v>
      </c>
    </row>
    <row r="86" spans="1:9" ht="15" customHeight="1">
      <c r="A86" s="104">
        <v>1962</v>
      </c>
      <c r="B86" s="104" t="s">
        <v>97</v>
      </c>
      <c r="C86" s="104" t="s">
        <v>1466</v>
      </c>
      <c r="D86" s="104">
        <v>3</v>
      </c>
      <c r="E86" s="104" t="s">
        <v>1586</v>
      </c>
      <c r="F86" s="104">
        <v>1</v>
      </c>
      <c r="G86" s="104" t="s">
        <v>1563</v>
      </c>
      <c r="H86" s="104" t="s">
        <v>1587</v>
      </c>
      <c r="I86" s="65" t="str">
        <f>A86&amp;" "&amp;VLOOKUP("round_"&amp;B86,langTable,MATCH(langName,_lang!$A$1:$F$1,0),FALSE)&amp;": "&amp;C86&amp;" "&amp;G86&amp;" "&amp;E86</f>
        <v>1962 Final: Brazil 3-1 Czechoslovakia</v>
      </c>
    </row>
    <row r="87" spans="1:9" ht="15" customHeight="1">
      <c r="A87" s="104">
        <v>1958</v>
      </c>
      <c r="B87" s="104" t="s">
        <v>97</v>
      </c>
      <c r="C87" s="104" t="s">
        <v>1466</v>
      </c>
      <c r="D87" s="104">
        <v>5</v>
      </c>
      <c r="E87" s="104" t="s">
        <v>1561</v>
      </c>
      <c r="F87" s="104">
        <v>2</v>
      </c>
      <c r="G87" s="104" t="s">
        <v>1588</v>
      </c>
      <c r="H87" s="104" t="s">
        <v>1589</v>
      </c>
      <c r="I87" s="65" t="str">
        <f>A87&amp;" "&amp;VLOOKUP("round_"&amp;B87,langTable,MATCH(langName,_lang!$A$1:$F$1,0),FALSE)&amp;": "&amp;C87&amp;" "&amp;G87&amp;" "&amp;E87</f>
        <v>1958 Final: Brazil 5-2 Sweden</v>
      </c>
    </row>
    <row r="88" spans="1:9" ht="15" customHeight="1">
      <c r="A88" s="104">
        <v>1954</v>
      </c>
      <c r="B88" s="104" t="s">
        <v>97</v>
      </c>
      <c r="C88" s="104" t="s">
        <v>1505</v>
      </c>
      <c r="D88" s="104">
        <v>3</v>
      </c>
      <c r="E88" s="104" t="s">
        <v>1590</v>
      </c>
      <c r="F88" s="104">
        <v>2</v>
      </c>
      <c r="G88" s="104" t="s">
        <v>1499</v>
      </c>
      <c r="H88" s="104" t="s">
        <v>1591</v>
      </c>
      <c r="I88" s="65" t="str">
        <f>A88&amp;" "&amp;VLOOKUP("round_"&amp;B88,langTable,MATCH(langName,_lang!$A$1:$F$1,0),FALSE)&amp;": "&amp;C88&amp;" "&amp;G88&amp;" "&amp;E88</f>
        <v>1954 Final: Germany 3-2 Hungary</v>
      </c>
    </row>
    <row r="89" spans="1:9" ht="15" customHeight="1">
      <c r="A89" s="104">
        <v>1954</v>
      </c>
      <c r="B89" s="104" t="s">
        <v>85</v>
      </c>
      <c r="C89" s="104" t="s">
        <v>1580</v>
      </c>
      <c r="D89" s="104">
        <v>7</v>
      </c>
      <c r="E89" s="104" t="s">
        <v>1488</v>
      </c>
      <c r="F89" s="104">
        <v>5</v>
      </c>
      <c r="G89" s="104" t="s">
        <v>1592</v>
      </c>
      <c r="H89" s="104" t="s">
        <v>1593</v>
      </c>
      <c r="I89" s="65" t="str">
        <f>A89&amp;" "&amp;VLOOKUP("round_"&amp;B89,langTable,MATCH(langName,_lang!$A$1:$F$1,0),FALSE)&amp;": "&amp;C89&amp;" "&amp;G89&amp;" "&amp;E89</f>
        <v>1954 Quarter-final: Austria 7-5 Switzerland</v>
      </c>
    </row>
    <row r="90" spans="1:9" ht="15" customHeight="1">
      <c r="A90" s="104">
        <v>1950</v>
      </c>
      <c r="B90" s="104" t="s">
        <v>97</v>
      </c>
      <c r="C90" s="104" t="s">
        <v>1532</v>
      </c>
      <c r="D90" s="104">
        <v>2</v>
      </c>
      <c r="E90" s="104" t="s">
        <v>1466</v>
      </c>
      <c r="F90" s="104">
        <v>1</v>
      </c>
      <c r="G90" s="104" t="s">
        <v>1477</v>
      </c>
      <c r="H90" s="104" t="s">
        <v>1594</v>
      </c>
      <c r="I90" s="65" t="str">
        <f>A90&amp;" "&amp;VLOOKUP("round_"&amp;B90,langTable,MATCH(langName,_lang!$A$1:$F$1,0),FALSE)&amp;": "&amp;C90&amp;" "&amp;G90&amp;" "&amp;E90</f>
        <v>1950 Final: Uruguay 2-1 Brazil</v>
      </c>
    </row>
    <row r="91" spans="1:9" ht="15" customHeight="1">
      <c r="A91" s="104">
        <v>1950</v>
      </c>
      <c r="B91" s="104" t="s">
        <v>1497</v>
      </c>
      <c r="C91" s="104" t="s">
        <v>1397</v>
      </c>
      <c r="D91" s="104">
        <v>1</v>
      </c>
      <c r="E91" s="104" t="s">
        <v>1476</v>
      </c>
      <c r="F91" s="104">
        <v>0</v>
      </c>
      <c r="G91" s="104" t="s">
        <v>1484</v>
      </c>
      <c r="H91" s="104" t="s">
        <v>1530</v>
      </c>
      <c r="I91" s="65" t="str">
        <f>A91&amp;" "&amp;VLOOKUP("round_"&amp;B91,langTable,MATCH(langName,_lang!$A$1:$F$1,0),FALSE)&amp;": "&amp;C91&amp;" "&amp;G91&amp;" "&amp;E91</f>
        <v>1950 Group: USA 1-0 England</v>
      </c>
    </row>
    <row r="92" spans="1:9" ht="15" customHeight="1">
      <c r="A92" s="104">
        <v>1934</v>
      </c>
      <c r="B92" s="104" t="s">
        <v>85</v>
      </c>
      <c r="C92" s="104" t="s">
        <v>1586</v>
      </c>
      <c r="D92" s="104">
        <v>3</v>
      </c>
      <c r="E92" s="104" t="s">
        <v>1488</v>
      </c>
      <c r="F92" s="104">
        <v>2</v>
      </c>
      <c r="G92" s="104" t="s">
        <v>1499</v>
      </c>
      <c r="H92" s="104" t="s">
        <v>1595</v>
      </c>
      <c r="I92" s="65" t="str">
        <f>A92&amp;" "&amp;VLOOKUP("round_"&amp;B92,langTable,MATCH(langName,_lang!$A$1:$F$1,0),FALSE)&amp;": "&amp;C92&amp;" "&amp;G92&amp;" "&amp;E92</f>
        <v>1934 Quarter-final: Czechoslovakia 3-2 Switzerland</v>
      </c>
    </row>
    <row r="93" spans="1:9" ht="15" customHeight="1">
      <c r="A93" s="104">
        <v>1930</v>
      </c>
      <c r="B93" s="104" t="s">
        <v>97</v>
      </c>
      <c r="C93" s="104" t="s">
        <v>1532</v>
      </c>
      <c r="D93" s="104">
        <v>4</v>
      </c>
      <c r="E93" s="104" t="s">
        <v>1469</v>
      </c>
      <c r="F93" s="104">
        <v>2</v>
      </c>
      <c r="G93" s="104" t="s">
        <v>1508</v>
      </c>
      <c r="H93" s="104" t="s">
        <v>1596</v>
      </c>
      <c r="I93" s="65" t="str">
        <f>A93&amp;" "&amp;VLOOKUP("round_"&amp;B93,langTable,MATCH(langName,_lang!$A$1:$F$1,0),FALSE)&amp;": "&amp;C93&amp;" "&amp;G93&amp;" "&amp;E93</f>
        <v>1930 Final: Uruguay 4-2 Argentina</v>
      </c>
    </row>
    <row r="94" spans="1:9" ht="15" customHeight="1">
      <c r="A94" s="104">
        <v>1930</v>
      </c>
      <c r="B94" s="104" t="s">
        <v>86</v>
      </c>
      <c r="C94" s="104" t="s">
        <v>1469</v>
      </c>
      <c r="D94" s="104">
        <v>6</v>
      </c>
      <c r="E94" s="104" t="s">
        <v>1397</v>
      </c>
      <c r="F94" s="104">
        <v>1</v>
      </c>
      <c r="G94" s="104" t="s">
        <v>1489</v>
      </c>
      <c r="H94" s="104" t="s">
        <v>1597</v>
      </c>
      <c r="I94" s="65" t="str">
        <f>A94&amp;" "&amp;VLOOKUP("round_"&amp;B94,langTable,MATCH(langName,_lang!$A$1:$F$1,0),FALSE)&amp;": "&amp;C94&amp;" "&amp;G94&amp;" "&amp;E94</f>
        <v>1930 Semi-final: Argentina 6-1 USA</v>
      </c>
    </row>
    <row r="95" spans="1:9" ht="15" customHeight="1">
      <c r="I95" s="65"/>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B5E2B"/>
  </sheetPr>
  <dimension ref="A1:FF1002"/>
  <sheetViews>
    <sheetView showGridLines="0" zoomScaleNormal="100" workbookViewId="0"/>
  </sheetViews>
  <sheetFormatPr baseColWidth="10" defaultColWidth="11.28515625" defaultRowHeight="15" customHeight="1"/>
  <cols>
    <col min="1" max="162" width="1.28515625" style="94" customWidth="1"/>
    <col min="163" max="169" width="11.28515625" style="94" customWidth="1"/>
    <col min="170" max="16384" width="11.28515625" style="94"/>
  </cols>
  <sheetData>
    <row r="1" spans="1:162" s="174" customFormat="1" ht="7.5" customHeight="1">
      <c r="A1" s="174">
        <v>1</v>
      </c>
    </row>
    <row r="2" spans="1:162" ht="7.5" customHeight="1">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row>
    <row r="3" spans="1:162" ht="7.5" customHeight="1">
      <c r="A3" s="93"/>
      <c r="B3" s="93"/>
      <c r="C3" s="93"/>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6"/>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row>
    <row r="4" spans="1:162" ht="7.5" customHeight="1">
      <c r="A4" s="93"/>
      <c r="B4" s="93"/>
      <c r="C4" s="97"/>
      <c r="D4" s="334" t="str">
        <f>HYPERLINK("https://www.justgiving.com/page/predictforpsc",VLOOKUP("btn_donate_now",langTable,MATCH(langName,_lang!$A$1:$F$1,0),FALSE()))</f>
        <v>♥ DONATE NOW</v>
      </c>
      <c r="E4" s="274"/>
      <c r="F4" s="274"/>
      <c r="G4" s="274"/>
      <c r="H4" s="274"/>
      <c r="I4" s="274"/>
      <c r="J4" s="274"/>
      <c r="K4" s="274"/>
      <c r="L4" s="274"/>
      <c r="M4" s="274"/>
      <c r="N4" s="274"/>
      <c r="O4" s="274"/>
      <c r="P4" s="274"/>
      <c r="Q4" s="274"/>
      <c r="R4" s="274"/>
      <c r="S4" s="275"/>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8"/>
      <c r="DO4" s="93"/>
      <c r="DP4" s="93">
        <v>1</v>
      </c>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row>
    <row r="5" spans="1:162" ht="7.5" customHeight="1">
      <c r="A5" s="93"/>
      <c r="B5" s="93"/>
      <c r="C5" s="97"/>
      <c r="D5" s="309"/>
      <c r="E5" s="327"/>
      <c r="F5" s="327"/>
      <c r="G5" s="327"/>
      <c r="H5" s="327"/>
      <c r="I5" s="327"/>
      <c r="J5" s="327"/>
      <c r="K5" s="327"/>
      <c r="L5" s="327"/>
      <c r="M5" s="327"/>
      <c r="N5" s="327"/>
      <c r="O5" s="327"/>
      <c r="P5" s="327"/>
      <c r="Q5" s="327"/>
      <c r="R5" s="327"/>
      <c r="S5" s="310"/>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8"/>
      <c r="DO5" s="93"/>
      <c r="DP5" s="93">
        <v>1</v>
      </c>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row>
    <row r="6" spans="1:162" ht="7.5" customHeight="1">
      <c r="A6" s="93"/>
      <c r="B6" s="93"/>
      <c r="C6" s="97"/>
      <c r="D6" s="309"/>
      <c r="E6" s="327"/>
      <c r="F6" s="327"/>
      <c r="G6" s="327"/>
      <c r="H6" s="327"/>
      <c r="I6" s="327"/>
      <c r="J6" s="327"/>
      <c r="K6" s="327"/>
      <c r="L6" s="327"/>
      <c r="M6" s="327"/>
      <c r="N6" s="327"/>
      <c r="O6" s="327"/>
      <c r="P6" s="327"/>
      <c r="Q6" s="327"/>
      <c r="R6" s="327"/>
      <c r="S6" s="310"/>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8"/>
      <c r="DO6" s="93"/>
      <c r="DP6" s="93">
        <v>1</v>
      </c>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row>
    <row r="7" spans="1:162" ht="7.5" customHeight="1">
      <c r="A7" s="93"/>
      <c r="B7" s="93"/>
      <c r="C7" s="97"/>
      <c r="D7" s="311"/>
      <c r="E7" s="312"/>
      <c r="F7" s="312"/>
      <c r="G7" s="312"/>
      <c r="H7" s="312"/>
      <c r="I7" s="312"/>
      <c r="J7" s="312"/>
      <c r="K7" s="312"/>
      <c r="L7" s="312"/>
      <c r="M7" s="312"/>
      <c r="N7" s="312"/>
      <c r="O7" s="312"/>
      <c r="P7" s="312"/>
      <c r="Q7" s="312"/>
      <c r="R7" s="312"/>
      <c r="S7" s="31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8"/>
      <c r="DO7" s="93"/>
      <c r="DP7" s="93">
        <v>1</v>
      </c>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row>
    <row r="8" spans="1:162" ht="7.5" customHeight="1">
      <c r="A8" s="93"/>
      <c r="B8" s="93"/>
      <c r="C8" s="97"/>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c r="DM8" s="175"/>
      <c r="DN8" s="98"/>
      <c r="DO8" s="93"/>
      <c r="DP8" s="93">
        <v>1</v>
      </c>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row>
    <row r="9" spans="1:162" ht="7.5" customHeight="1">
      <c r="A9" s="93"/>
      <c r="B9" s="93"/>
      <c r="C9" s="97"/>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8"/>
      <c r="DO9" s="93"/>
      <c r="DP9" s="93">
        <v>1</v>
      </c>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row>
    <row r="10" spans="1:162" ht="7.5" customHeight="1">
      <c r="A10" s="93"/>
      <c r="B10" s="93"/>
      <c r="C10" s="97"/>
      <c r="D10" s="93"/>
      <c r="E10" s="93"/>
      <c r="F10" s="93"/>
      <c r="G10" s="93"/>
      <c r="H10" s="93"/>
      <c r="I10" s="93"/>
      <c r="J10" s="93"/>
      <c r="K10" s="93"/>
      <c r="L10" s="93"/>
      <c r="M10" s="93"/>
      <c r="N10" s="93"/>
      <c r="O10" s="93"/>
      <c r="P10" s="93"/>
      <c r="Q10" s="335" t="str">
        <f>VLOOKUP("hw_title",langTable,MATCH(langName,_lang!$A$1:$F$1,0),FALSE())</f>
        <v xml:space="preserve"> &gt;&gt;&gt; HOW TO USE </v>
      </c>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8"/>
      <c r="DO10" s="93"/>
      <c r="DP10" s="93">
        <v>1</v>
      </c>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row>
    <row r="11" spans="1:162" ht="7.5" customHeight="1">
      <c r="A11" s="93"/>
      <c r="B11" s="93"/>
      <c r="C11" s="97"/>
      <c r="D11" s="93"/>
      <c r="E11" s="93"/>
      <c r="F11" s="93"/>
      <c r="G11" s="93"/>
      <c r="H11" s="93"/>
      <c r="I11" s="93"/>
      <c r="J11" s="93"/>
      <c r="K11" s="93"/>
      <c r="L11" s="93"/>
      <c r="M11" s="93"/>
      <c r="N11" s="93"/>
      <c r="O11" s="93"/>
      <c r="P11" s="93"/>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8"/>
      <c r="DO11" s="93"/>
      <c r="DP11" s="93">
        <v>1</v>
      </c>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row>
    <row r="12" spans="1:162" ht="7.5" customHeight="1">
      <c r="A12" s="93"/>
      <c r="B12" s="93"/>
      <c r="C12" s="97"/>
      <c r="D12" s="93"/>
      <c r="E12" s="93"/>
      <c r="F12" s="93"/>
      <c r="G12" s="93"/>
      <c r="H12" s="93"/>
      <c r="I12" s="93"/>
      <c r="J12" s="93"/>
      <c r="K12" s="93"/>
      <c r="L12" s="93"/>
      <c r="M12" s="93"/>
      <c r="N12" s="93"/>
      <c r="O12" s="93"/>
      <c r="P12" s="93"/>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8"/>
      <c r="DO12" s="93"/>
      <c r="DP12" s="93">
        <v>1</v>
      </c>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row>
    <row r="13" spans="1:162" ht="9" customHeight="1">
      <c r="A13" s="93"/>
      <c r="B13" s="93"/>
      <c r="C13" s="97"/>
      <c r="D13" s="93"/>
      <c r="E13" s="93"/>
      <c r="F13" s="93"/>
      <c r="G13" s="93"/>
      <c r="H13" s="93"/>
      <c r="I13" s="93"/>
      <c r="J13" s="93"/>
      <c r="K13" s="93"/>
      <c r="L13" s="93"/>
      <c r="M13" s="93"/>
      <c r="N13" s="93"/>
      <c r="O13" s="93"/>
      <c r="P13" s="93"/>
      <c r="Q13" s="332"/>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c r="CH13" s="327"/>
      <c r="CI13" s="327"/>
      <c r="CJ13" s="327"/>
      <c r="CK13" s="327"/>
      <c r="CL13" s="327"/>
      <c r="CM13" s="327"/>
      <c r="CN13" s="327"/>
      <c r="CO13" s="327"/>
      <c r="CP13" s="327"/>
      <c r="CQ13" s="327"/>
      <c r="CR13" s="327"/>
      <c r="CS13" s="327"/>
      <c r="CT13" s="327"/>
      <c r="CU13" s="327"/>
      <c r="CV13" s="327"/>
      <c r="CW13" s="327"/>
      <c r="CX13" s="327"/>
      <c r="CY13" s="327"/>
      <c r="CZ13" s="327"/>
      <c r="DA13" s="93"/>
      <c r="DB13" s="93"/>
      <c r="DC13" s="93"/>
      <c r="DD13" s="93"/>
      <c r="DE13" s="93"/>
      <c r="DF13" s="93"/>
      <c r="DG13" s="93"/>
      <c r="DH13" s="93"/>
      <c r="DI13" s="93"/>
      <c r="DJ13" s="93"/>
      <c r="DK13" s="93"/>
      <c r="DL13" s="93"/>
      <c r="DM13" s="93"/>
      <c r="DN13" s="98"/>
      <c r="DO13" s="93"/>
      <c r="DP13" s="93">
        <v>1</v>
      </c>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row>
    <row r="14" spans="1:162" ht="7.5" customHeight="1">
      <c r="A14" s="93"/>
      <c r="B14" s="93"/>
      <c r="C14" s="97"/>
      <c r="D14" s="93"/>
      <c r="E14" s="93"/>
      <c r="F14" s="93"/>
      <c r="G14" s="93"/>
      <c r="H14" s="93"/>
      <c r="I14" s="93"/>
      <c r="J14" s="93"/>
      <c r="K14" s="93"/>
      <c r="L14" s="93"/>
      <c r="M14" s="93"/>
      <c r="N14" s="93"/>
      <c r="O14" s="93"/>
      <c r="P14" s="93"/>
      <c r="Q14" s="93"/>
      <c r="R14" s="326">
        <v>1</v>
      </c>
      <c r="S14" s="317"/>
      <c r="T14" s="317"/>
      <c r="U14" s="318"/>
      <c r="V14" s="331" t="str">
        <f>VLOOKUP("step1_b",langTable,MATCH(langName,_lang!$A$1:$F$1,0),FALSE())</f>
        <v>In Google Sheets:  File → Make a copy.  In Excel:  File → Save As.  Rename it whatever you like and save it to your own Drive or computer.</v>
      </c>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8"/>
      <c r="DA14" s="93"/>
      <c r="DB14" s="93"/>
      <c r="DC14" s="93"/>
      <c r="DD14" s="93"/>
      <c r="DE14" s="93"/>
      <c r="DF14" s="93"/>
      <c r="DG14" s="93"/>
      <c r="DH14" s="93"/>
      <c r="DI14" s="93"/>
      <c r="DJ14" s="93"/>
      <c r="DK14" s="93"/>
      <c r="DL14" s="93"/>
      <c r="DM14" s="93"/>
      <c r="DN14" s="98"/>
      <c r="DO14" s="93"/>
      <c r="DP14" s="93">
        <v>1</v>
      </c>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row>
    <row r="15" spans="1:162" ht="7.5" customHeight="1">
      <c r="A15" s="93"/>
      <c r="B15" s="93"/>
      <c r="C15" s="97"/>
      <c r="D15" s="93"/>
      <c r="E15" s="93"/>
      <c r="F15" s="93"/>
      <c r="G15" s="93"/>
      <c r="H15" s="93"/>
      <c r="I15" s="93"/>
      <c r="J15" s="93"/>
      <c r="K15" s="93"/>
      <c r="L15" s="93"/>
      <c r="M15" s="93"/>
      <c r="N15" s="93"/>
      <c r="O15" s="93"/>
      <c r="P15" s="93"/>
      <c r="Q15" s="93"/>
      <c r="R15" s="319"/>
      <c r="S15" s="327"/>
      <c r="T15" s="327"/>
      <c r="U15" s="320"/>
      <c r="V15" s="319"/>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7"/>
      <c r="CA15" s="327"/>
      <c r="CB15" s="327"/>
      <c r="CC15" s="327"/>
      <c r="CD15" s="327"/>
      <c r="CE15" s="327"/>
      <c r="CF15" s="327"/>
      <c r="CG15" s="327"/>
      <c r="CH15" s="327"/>
      <c r="CI15" s="327"/>
      <c r="CJ15" s="327"/>
      <c r="CK15" s="327"/>
      <c r="CL15" s="327"/>
      <c r="CM15" s="327"/>
      <c r="CN15" s="327"/>
      <c r="CO15" s="327"/>
      <c r="CP15" s="327"/>
      <c r="CQ15" s="327"/>
      <c r="CR15" s="327"/>
      <c r="CS15" s="327"/>
      <c r="CT15" s="327"/>
      <c r="CU15" s="327"/>
      <c r="CV15" s="327"/>
      <c r="CW15" s="327"/>
      <c r="CX15" s="327"/>
      <c r="CY15" s="327"/>
      <c r="CZ15" s="320"/>
      <c r="DA15" s="93"/>
      <c r="DB15" s="93"/>
      <c r="DC15" s="93"/>
      <c r="DD15" s="93"/>
      <c r="DE15" s="93"/>
      <c r="DF15" s="93"/>
      <c r="DG15" s="93"/>
      <c r="DH15" s="93"/>
      <c r="DI15" s="93"/>
      <c r="DJ15" s="93"/>
      <c r="DK15" s="93"/>
      <c r="DL15" s="93"/>
      <c r="DM15" s="93"/>
      <c r="DN15" s="98"/>
      <c r="DO15" s="93"/>
      <c r="DP15" s="93">
        <v>1</v>
      </c>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row>
    <row r="16" spans="1:162" ht="7.5" customHeight="1">
      <c r="A16" s="93"/>
      <c r="B16" s="93"/>
      <c r="C16" s="97"/>
      <c r="D16" s="93"/>
      <c r="E16" s="93"/>
      <c r="F16" s="93"/>
      <c r="G16" s="93"/>
      <c r="H16" s="93"/>
      <c r="I16" s="93"/>
      <c r="J16" s="93"/>
      <c r="K16" s="93"/>
      <c r="L16" s="93"/>
      <c r="M16" s="93"/>
      <c r="N16" s="93"/>
      <c r="O16" s="93"/>
      <c r="P16" s="93"/>
      <c r="Q16" s="93"/>
      <c r="R16" s="319"/>
      <c r="S16" s="327"/>
      <c r="T16" s="327"/>
      <c r="U16" s="320"/>
      <c r="V16" s="319"/>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7"/>
      <c r="BW16" s="327"/>
      <c r="BX16" s="327"/>
      <c r="BY16" s="327"/>
      <c r="BZ16" s="327"/>
      <c r="CA16" s="327"/>
      <c r="CB16" s="327"/>
      <c r="CC16" s="327"/>
      <c r="CD16" s="327"/>
      <c r="CE16" s="327"/>
      <c r="CF16" s="327"/>
      <c r="CG16" s="327"/>
      <c r="CH16" s="327"/>
      <c r="CI16" s="327"/>
      <c r="CJ16" s="327"/>
      <c r="CK16" s="327"/>
      <c r="CL16" s="327"/>
      <c r="CM16" s="327"/>
      <c r="CN16" s="327"/>
      <c r="CO16" s="327"/>
      <c r="CP16" s="327"/>
      <c r="CQ16" s="327"/>
      <c r="CR16" s="327"/>
      <c r="CS16" s="327"/>
      <c r="CT16" s="327"/>
      <c r="CU16" s="327"/>
      <c r="CV16" s="327"/>
      <c r="CW16" s="327"/>
      <c r="CX16" s="327"/>
      <c r="CY16" s="327"/>
      <c r="CZ16" s="320"/>
      <c r="DA16" s="93"/>
      <c r="DB16" s="93"/>
      <c r="DC16" s="93"/>
      <c r="DD16" s="93"/>
      <c r="DE16" s="93"/>
      <c r="DF16" s="93"/>
      <c r="DG16" s="93"/>
      <c r="DH16" s="93"/>
      <c r="DI16" s="93"/>
      <c r="DJ16" s="93"/>
      <c r="DK16" s="93"/>
      <c r="DL16" s="93"/>
      <c r="DM16" s="93"/>
      <c r="DN16" s="100"/>
      <c r="DO16" s="93"/>
      <c r="DP16" s="93">
        <v>1</v>
      </c>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row>
    <row r="17" spans="1:162" ht="7.5" customHeight="1">
      <c r="A17" s="93"/>
      <c r="B17" s="93"/>
      <c r="C17" s="97"/>
      <c r="D17" s="93"/>
      <c r="E17" s="93"/>
      <c r="F17" s="93"/>
      <c r="G17" s="93"/>
      <c r="H17" s="93"/>
      <c r="I17" s="93"/>
      <c r="J17" s="93"/>
      <c r="K17" s="93"/>
      <c r="L17" s="93"/>
      <c r="M17" s="93"/>
      <c r="N17" s="93"/>
      <c r="O17" s="93"/>
      <c r="P17" s="93"/>
      <c r="Q17" s="93"/>
      <c r="R17" s="328"/>
      <c r="S17" s="329"/>
      <c r="T17" s="329"/>
      <c r="U17" s="330"/>
      <c r="V17" s="319"/>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7"/>
      <c r="BS17" s="327"/>
      <c r="BT17" s="327"/>
      <c r="BU17" s="327"/>
      <c r="BV17" s="327"/>
      <c r="BW17" s="327"/>
      <c r="BX17" s="327"/>
      <c r="BY17" s="327"/>
      <c r="BZ17" s="327"/>
      <c r="CA17" s="327"/>
      <c r="CB17" s="327"/>
      <c r="CC17" s="327"/>
      <c r="CD17" s="327"/>
      <c r="CE17" s="327"/>
      <c r="CF17" s="327"/>
      <c r="CG17" s="327"/>
      <c r="CH17" s="327"/>
      <c r="CI17" s="327"/>
      <c r="CJ17" s="327"/>
      <c r="CK17" s="327"/>
      <c r="CL17" s="327"/>
      <c r="CM17" s="327"/>
      <c r="CN17" s="327"/>
      <c r="CO17" s="327"/>
      <c r="CP17" s="327"/>
      <c r="CQ17" s="327"/>
      <c r="CR17" s="327"/>
      <c r="CS17" s="327"/>
      <c r="CT17" s="327"/>
      <c r="CU17" s="327"/>
      <c r="CV17" s="327"/>
      <c r="CW17" s="327"/>
      <c r="CX17" s="327"/>
      <c r="CY17" s="327"/>
      <c r="CZ17" s="320"/>
      <c r="DA17" s="93"/>
      <c r="DB17" s="93"/>
      <c r="DC17" s="93"/>
      <c r="DD17" s="93"/>
      <c r="DE17" s="93"/>
      <c r="DF17" s="93"/>
      <c r="DG17" s="93"/>
      <c r="DH17" s="93"/>
      <c r="DI17" s="93"/>
      <c r="DJ17" s="93"/>
      <c r="DK17" s="93"/>
      <c r="DL17" s="93"/>
      <c r="DM17" s="93"/>
      <c r="DN17" s="100"/>
      <c r="DO17" s="93"/>
      <c r="DP17" s="93">
        <v>1</v>
      </c>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row>
    <row r="18" spans="1:162" ht="7.5" customHeight="1">
      <c r="A18" s="93"/>
      <c r="B18" s="93"/>
      <c r="C18" s="97"/>
      <c r="D18" s="93"/>
      <c r="E18" s="93"/>
      <c r="F18" s="93"/>
      <c r="G18" s="93"/>
      <c r="H18" s="93"/>
      <c r="I18" s="93"/>
      <c r="J18" s="93"/>
      <c r="K18" s="93"/>
      <c r="L18" s="93"/>
      <c r="M18" s="93"/>
      <c r="N18" s="93"/>
      <c r="O18" s="93"/>
      <c r="P18" s="93"/>
      <c r="Q18" s="93"/>
      <c r="R18" s="93"/>
      <c r="S18" s="93"/>
      <c r="T18" s="93"/>
      <c r="U18" s="93"/>
      <c r="V18" s="319"/>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c r="CA18" s="327"/>
      <c r="CB18" s="327"/>
      <c r="CC18" s="327"/>
      <c r="CD18" s="327"/>
      <c r="CE18" s="327"/>
      <c r="CF18" s="327"/>
      <c r="CG18" s="327"/>
      <c r="CH18" s="327"/>
      <c r="CI18" s="327"/>
      <c r="CJ18" s="327"/>
      <c r="CK18" s="327"/>
      <c r="CL18" s="327"/>
      <c r="CM18" s="327"/>
      <c r="CN18" s="327"/>
      <c r="CO18" s="327"/>
      <c r="CP18" s="327"/>
      <c r="CQ18" s="327"/>
      <c r="CR18" s="327"/>
      <c r="CS18" s="327"/>
      <c r="CT18" s="327"/>
      <c r="CU18" s="327"/>
      <c r="CV18" s="327"/>
      <c r="CW18" s="327"/>
      <c r="CX18" s="327"/>
      <c r="CY18" s="327"/>
      <c r="CZ18" s="320"/>
      <c r="DA18" s="93"/>
      <c r="DB18" s="93"/>
      <c r="DC18" s="93"/>
      <c r="DD18" s="93"/>
      <c r="DE18" s="93"/>
      <c r="DF18" s="93"/>
      <c r="DG18" s="93"/>
      <c r="DH18" s="93"/>
      <c r="DI18" s="93"/>
      <c r="DJ18" s="93"/>
      <c r="DK18" s="93"/>
      <c r="DL18" s="93"/>
      <c r="DM18" s="93"/>
      <c r="DN18" s="100"/>
      <c r="DO18" s="93"/>
      <c r="DP18" s="93">
        <v>1</v>
      </c>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row>
    <row r="19" spans="1:162" ht="7.5" customHeight="1">
      <c r="A19" s="93"/>
      <c r="B19" s="93"/>
      <c r="C19" s="97"/>
      <c r="D19" s="93"/>
      <c r="E19" s="93"/>
      <c r="F19" s="93"/>
      <c r="G19" s="93"/>
      <c r="H19" s="93"/>
      <c r="I19" s="93"/>
      <c r="J19" s="93"/>
      <c r="K19" s="93"/>
      <c r="L19" s="93"/>
      <c r="M19" s="93"/>
      <c r="N19" s="93"/>
      <c r="O19" s="93"/>
      <c r="P19" s="93"/>
      <c r="Q19" s="93"/>
      <c r="R19" s="93"/>
      <c r="S19" s="93"/>
      <c r="T19" s="93"/>
      <c r="U19" s="93"/>
      <c r="V19" s="319"/>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c r="CA19" s="327"/>
      <c r="CB19" s="327"/>
      <c r="CC19" s="327"/>
      <c r="CD19" s="327"/>
      <c r="CE19" s="327"/>
      <c r="CF19" s="327"/>
      <c r="CG19" s="327"/>
      <c r="CH19" s="327"/>
      <c r="CI19" s="327"/>
      <c r="CJ19" s="327"/>
      <c r="CK19" s="327"/>
      <c r="CL19" s="327"/>
      <c r="CM19" s="327"/>
      <c r="CN19" s="327"/>
      <c r="CO19" s="327"/>
      <c r="CP19" s="327"/>
      <c r="CQ19" s="327"/>
      <c r="CR19" s="327"/>
      <c r="CS19" s="327"/>
      <c r="CT19" s="327"/>
      <c r="CU19" s="327"/>
      <c r="CV19" s="327"/>
      <c r="CW19" s="327"/>
      <c r="CX19" s="327"/>
      <c r="CY19" s="327"/>
      <c r="CZ19" s="320"/>
      <c r="DA19" s="93"/>
      <c r="DB19" s="93"/>
      <c r="DC19" s="93"/>
      <c r="DD19" s="93"/>
      <c r="DE19" s="93"/>
      <c r="DF19" s="93"/>
      <c r="DG19" s="93"/>
      <c r="DH19" s="93"/>
      <c r="DI19" s="93"/>
      <c r="DJ19" s="93"/>
      <c r="DK19" s="93"/>
      <c r="DL19" s="93"/>
      <c r="DM19" s="93"/>
      <c r="DN19" s="100"/>
      <c r="DO19" s="93"/>
      <c r="DP19" s="93">
        <v>1</v>
      </c>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row>
    <row r="20" spans="1:162" ht="7.5" customHeight="1">
      <c r="A20" s="93"/>
      <c r="B20" s="93"/>
      <c r="C20" s="97"/>
      <c r="D20" s="93"/>
      <c r="E20" s="93"/>
      <c r="F20" s="93"/>
      <c r="G20" s="93"/>
      <c r="H20" s="93"/>
      <c r="I20" s="93"/>
      <c r="J20" s="93"/>
      <c r="K20" s="93"/>
      <c r="L20" s="93"/>
      <c r="M20" s="93"/>
      <c r="N20" s="93"/>
      <c r="O20" s="93"/>
      <c r="P20" s="93"/>
      <c r="Q20" s="93"/>
      <c r="R20" s="93"/>
      <c r="S20" s="93"/>
      <c r="T20" s="93"/>
      <c r="U20" s="93"/>
      <c r="V20" s="319"/>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c r="CH20" s="327"/>
      <c r="CI20" s="327"/>
      <c r="CJ20" s="327"/>
      <c r="CK20" s="327"/>
      <c r="CL20" s="327"/>
      <c r="CM20" s="327"/>
      <c r="CN20" s="327"/>
      <c r="CO20" s="327"/>
      <c r="CP20" s="327"/>
      <c r="CQ20" s="327"/>
      <c r="CR20" s="327"/>
      <c r="CS20" s="327"/>
      <c r="CT20" s="327"/>
      <c r="CU20" s="327"/>
      <c r="CV20" s="327"/>
      <c r="CW20" s="327"/>
      <c r="CX20" s="327"/>
      <c r="CY20" s="327"/>
      <c r="CZ20" s="320"/>
      <c r="DA20" s="93"/>
      <c r="DB20" s="93"/>
      <c r="DC20" s="93"/>
      <c r="DD20" s="93"/>
      <c r="DE20" s="93"/>
      <c r="DF20" s="93"/>
      <c r="DG20" s="93"/>
      <c r="DH20" s="93"/>
      <c r="DI20" s="93"/>
      <c r="DJ20" s="93"/>
      <c r="DK20" s="93"/>
      <c r="DL20" s="93"/>
      <c r="DM20" s="93"/>
      <c r="DN20" s="100"/>
      <c r="DO20" s="93"/>
      <c r="DP20" s="93">
        <v>1</v>
      </c>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row>
    <row r="21" spans="1:162" ht="7.5" customHeight="1">
      <c r="A21" s="93"/>
      <c r="B21" s="93"/>
      <c r="C21" s="97"/>
      <c r="D21" s="93"/>
      <c r="E21" s="93"/>
      <c r="F21" s="93"/>
      <c r="G21" s="93"/>
      <c r="H21" s="93"/>
      <c r="I21" s="93"/>
      <c r="J21" s="93"/>
      <c r="K21" s="93"/>
      <c r="L21" s="93"/>
      <c r="M21" s="93"/>
      <c r="N21" s="93"/>
      <c r="O21" s="93"/>
      <c r="P21" s="93"/>
      <c r="Q21" s="93"/>
      <c r="R21" s="93"/>
      <c r="S21" s="93"/>
      <c r="T21" s="93"/>
      <c r="U21" s="93"/>
      <c r="V21" s="328"/>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30"/>
      <c r="DA21" s="93"/>
      <c r="DB21" s="93"/>
      <c r="DC21" s="93"/>
      <c r="DD21" s="93"/>
      <c r="DE21" s="93"/>
      <c r="DF21" s="93"/>
      <c r="DG21" s="93"/>
      <c r="DH21" s="93"/>
      <c r="DI21" s="93"/>
      <c r="DJ21" s="93"/>
      <c r="DK21" s="93"/>
      <c r="DL21" s="93"/>
      <c r="DM21" s="93"/>
      <c r="DN21" s="100"/>
      <c r="DO21" s="93"/>
      <c r="DP21" s="93">
        <v>1</v>
      </c>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row>
    <row r="22" spans="1:162" ht="7.5" customHeight="1">
      <c r="A22" s="93"/>
      <c r="B22" s="93"/>
      <c r="C22" s="97"/>
      <c r="D22" s="93"/>
      <c r="E22" s="93"/>
      <c r="F22" s="93"/>
      <c r="G22" s="93"/>
      <c r="H22" s="93"/>
      <c r="I22" s="93"/>
      <c r="J22" s="93"/>
      <c r="K22" s="93"/>
      <c r="L22" s="93"/>
      <c r="M22" s="93"/>
      <c r="N22" s="93"/>
      <c r="O22" s="93"/>
      <c r="P22" s="93"/>
      <c r="Q22" s="93"/>
      <c r="R22" s="93"/>
      <c r="S22" s="93"/>
      <c r="T22" s="93"/>
      <c r="U22" s="93"/>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93"/>
      <c r="DB22" s="93"/>
      <c r="DC22" s="93"/>
      <c r="DD22" s="93"/>
      <c r="DE22" s="93"/>
      <c r="DF22" s="93"/>
      <c r="DG22" s="93"/>
      <c r="DH22" s="93"/>
      <c r="DI22" s="93"/>
      <c r="DJ22" s="93"/>
      <c r="DK22" s="93"/>
      <c r="DL22" s="93"/>
      <c r="DM22" s="93"/>
      <c r="DN22" s="100"/>
      <c r="DO22" s="93"/>
      <c r="DP22" s="93">
        <v>1</v>
      </c>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row>
    <row r="23" spans="1:162" ht="7.5" customHeight="1">
      <c r="A23" s="93"/>
      <c r="B23" s="93"/>
      <c r="C23" s="97"/>
      <c r="D23" s="93"/>
      <c r="E23" s="93"/>
      <c r="F23" s="93"/>
      <c r="G23" s="93"/>
      <c r="H23" s="93"/>
      <c r="I23" s="93"/>
      <c r="J23" s="93"/>
      <c r="K23" s="93"/>
      <c r="L23" s="93"/>
      <c r="M23" s="93"/>
      <c r="N23" s="93"/>
      <c r="O23" s="93"/>
      <c r="P23" s="93"/>
      <c r="Q23" s="93"/>
      <c r="R23" s="326">
        <v>2</v>
      </c>
      <c r="S23" s="317"/>
      <c r="T23" s="317"/>
      <c r="U23" s="318"/>
      <c r="V23" s="331" t="str">
        <f>VLOOKUP("step2_b",langTable,MATCH(langName,_lang!$A$1:$F$1,0),FALSE())</f>
        <v>On every fixture / schedule sheet, top right, there is a Timezone dropdown.  Pick yours — kick-off times update everywhere.  If you select UK, the TV column auto-fills with BBC or ITV.</v>
      </c>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8"/>
      <c r="DA23" s="93"/>
      <c r="DB23" s="93"/>
      <c r="DC23" s="93"/>
      <c r="DD23" s="93"/>
      <c r="DE23" s="93"/>
      <c r="DF23" s="93"/>
      <c r="DG23" s="93"/>
      <c r="DH23" s="93"/>
      <c r="DI23" s="93"/>
      <c r="DJ23" s="93"/>
      <c r="DK23" s="93"/>
      <c r="DL23" s="93"/>
      <c r="DM23" s="93"/>
      <c r="DN23" s="100"/>
      <c r="DO23" s="93"/>
      <c r="DP23" s="93">
        <v>1</v>
      </c>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row>
    <row r="24" spans="1:162" ht="7.5" customHeight="1">
      <c r="A24" s="93"/>
      <c r="B24" s="93"/>
      <c r="C24" s="97"/>
      <c r="D24" s="93"/>
      <c r="E24" s="93"/>
      <c r="F24" s="93"/>
      <c r="G24" s="93"/>
      <c r="H24" s="93"/>
      <c r="I24" s="93"/>
      <c r="J24" s="93"/>
      <c r="K24" s="93"/>
      <c r="L24" s="93"/>
      <c r="M24" s="93"/>
      <c r="N24" s="93"/>
      <c r="O24" s="93"/>
      <c r="P24" s="93"/>
      <c r="Q24" s="93"/>
      <c r="R24" s="319"/>
      <c r="S24" s="327"/>
      <c r="T24" s="327"/>
      <c r="U24" s="320"/>
      <c r="V24" s="319"/>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c r="CH24" s="327"/>
      <c r="CI24" s="327"/>
      <c r="CJ24" s="327"/>
      <c r="CK24" s="327"/>
      <c r="CL24" s="327"/>
      <c r="CM24" s="327"/>
      <c r="CN24" s="327"/>
      <c r="CO24" s="327"/>
      <c r="CP24" s="327"/>
      <c r="CQ24" s="327"/>
      <c r="CR24" s="327"/>
      <c r="CS24" s="327"/>
      <c r="CT24" s="327"/>
      <c r="CU24" s="327"/>
      <c r="CV24" s="327"/>
      <c r="CW24" s="327"/>
      <c r="CX24" s="327"/>
      <c r="CY24" s="327"/>
      <c r="CZ24" s="320"/>
      <c r="DA24" s="93"/>
      <c r="DB24" s="93"/>
      <c r="DC24" s="93"/>
      <c r="DD24" s="93"/>
      <c r="DE24" s="93"/>
      <c r="DF24" s="93"/>
      <c r="DG24" s="93"/>
      <c r="DH24" s="93"/>
      <c r="DI24" s="93"/>
      <c r="DJ24" s="93"/>
      <c r="DK24" s="93"/>
      <c r="DL24" s="93"/>
      <c r="DM24" s="93"/>
      <c r="DN24" s="100"/>
      <c r="DO24" s="93"/>
      <c r="DP24" s="93">
        <v>1</v>
      </c>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row>
    <row r="25" spans="1:162" ht="7.5" customHeight="1">
      <c r="A25" s="93"/>
      <c r="B25" s="93"/>
      <c r="C25" s="97"/>
      <c r="D25" s="93"/>
      <c r="E25" s="93"/>
      <c r="F25" s="93"/>
      <c r="G25" s="93"/>
      <c r="H25" s="93"/>
      <c r="I25" s="93"/>
      <c r="J25" s="93"/>
      <c r="K25" s="93"/>
      <c r="L25" s="93"/>
      <c r="M25" s="93"/>
      <c r="N25" s="93"/>
      <c r="O25" s="93"/>
      <c r="P25" s="93"/>
      <c r="Q25" s="93"/>
      <c r="R25" s="319"/>
      <c r="S25" s="327"/>
      <c r="T25" s="327"/>
      <c r="U25" s="320"/>
      <c r="V25" s="319"/>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c r="CA25" s="327"/>
      <c r="CB25" s="327"/>
      <c r="CC25" s="327"/>
      <c r="CD25" s="327"/>
      <c r="CE25" s="327"/>
      <c r="CF25" s="327"/>
      <c r="CG25" s="327"/>
      <c r="CH25" s="327"/>
      <c r="CI25" s="327"/>
      <c r="CJ25" s="327"/>
      <c r="CK25" s="327"/>
      <c r="CL25" s="327"/>
      <c r="CM25" s="327"/>
      <c r="CN25" s="327"/>
      <c r="CO25" s="327"/>
      <c r="CP25" s="327"/>
      <c r="CQ25" s="327"/>
      <c r="CR25" s="327"/>
      <c r="CS25" s="327"/>
      <c r="CT25" s="327"/>
      <c r="CU25" s="327"/>
      <c r="CV25" s="327"/>
      <c r="CW25" s="327"/>
      <c r="CX25" s="327"/>
      <c r="CY25" s="327"/>
      <c r="CZ25" s="320"/>
      <c r="DA25" s="93"/>
      <c r="DB25" s="93"/>
      <c r="DC25" s="93"/>
      <c r="DD25" s="93"/>
      <c r="DE25" s="93"/>
      <c r="DF25" s="93"/>
      <c r="DG25" s="93"/>
      <c r="DH25" s="93"/>
      <c r="DI25" s="93"/>
      <c r="DJ25" s="93"/>
      <c r="DK25" s="93"/>
      <c r="DL25" s="93"/>
      <c r="DM25" s="93"/>
      <c r="DN25" s="100"/>
      <c r="DO25" s="93"/>
      <c r="DP25" s="93">
        <v>1</v>
      </c>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row>
    <row r="26" spans="1:162" ht="7.5" customHeight="1">
      <c r="A26" s="93"/>
      <c r="B26" s="93"/>
      <c r="C26" s="97"/>
      <c r="D26" s="93"/>
      <c r="E26" s="93"/>
      <c r="F26" s="93"/>
      <c r="G26" s="93"/>
      <c r="H26" s="93"/>
      <c r="I26" s="93"/>
      <c r="J26" s="93"/>
      <c r="K26" s="93"/>
      <c r="L26" s="93"/>
      <c r="M26" s="93"/>
      <c r="N26" s="93"/>
      <c r="O26" s="93"/>
      <c r="P26" s="93"/>
      <c r="Q26" s="93"/>
      <c r="R26" s="328"/>
      <c r="S26" s="329"/>
      <c r="T26" s="329"/>
      <c r="U26" s="330"/>
      <c r="V26" s="319"/>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c r="CH26" s="327"/>
      <c r="CI26" s="327"/>
      <c r="CJ26" s="327"/>
      <c r="CK26" s="327"/>
      <c r="CL26" s="327"/>
      <c r="CM26" s="327"/>
      <c r="CN26" s="327"/>
      <c r="CO26" s="327"/>
      <c r="CP26" s="327"/>
      <c r="CQ26" s="327"/>
      <c r="CR26" s="327"/>
      <c r="CS26" s="327"/>
      <c r="CT26" s="327"/>
      <c r="CU26" s="327"/>
      <c r="CV26" s="327"/>
      <c r="CW26" s="327"/>
      <c r="CX26" s="327"/>
      <c r="CY26" s="327"/>
      <c r="CZ26" s="320"/>
      <c r="DA26" s="93"/>
      <c r="DB26" s="93"/>
      <c r="DC26" s="93"/>
      <c r="DD26" s="93"/>
      <c r="DE26" s="93"/>
      <c r="DF26" s="93"/>
      <c r="DG26" s="93"/>
      <c r="DH26" s="93"/>
      <c r="DI26" s="93"/>
      <c r="DJ26" s="93"/>
      <c r="DK26" s="93"/>
      <c r="DL26" s="93"/>
      <c r="DM26" s="93"/>
      <c r="DN26" s="100"/>
      <c r="DO26" s="93"/>
      <c r="DP26" s="93">
        <v>1</v>
      </c>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row>
    <row r="27" spans="1:162" ht="7.5" customHeight="1">
      <c r="A27" s="93"/>
      <c r="B27" s="93"/>
      <c r="C27" s="97"/>
      <c r="D27" s="93"/>
      <c r="E27" s="93"/>
      <c r="F27" s="93"/>
      <c r="G27" s="93"/>
      <c r="H27" s="93"/>
      <c r="I27" s="93"/>
      <c r="J27" s="93"/>
      <c r="K27" s="93"/>
      <c r="L27" s="93"/>
      <c r="M27" s="93"/>
      <c r="N27" s="93"/>
      <c r="O27" s="93"/>
      <c r="P27" s="93"/>
      <c r="Q27" s="93"/>
      <c r="R27" s="93"/>
      <c r="S27" s="93"/>
      <c r="T27" s="93"/>
      <c r="U27" s="93"/>
      <c r="V27" s="319"/>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c r="CH27" s="327"/>
      <c r="CI27" s="327"/>
      <c r="CJ27" s="327"/>
      <c r="CK27" s="327"/>
      <c r="CL27" s="327"/>
      <c r="CM27" s="327"/>
      <c r="CN27" s="327"/>
      <c r="CO27" s="327"/>
      <c r="CP27" s="327"/>
      <c r="CQ27" s="327"/>
      <c r="CR27" s="327"/>
      <c r="CS27" s="327"/>
      <c r="CT27" s="327"/>
      <c r="CU27" s="327"/>
      <c r="CV27" s="327"/>
      <c r="CW27" s="327"/>
      <c r="CX27" s="327"/>
      <c r="CY27" s="327"/>
      <c r="CZ27" s="320"/>
      <c r="DA27" s="93"/>
      <c r="DB27" s="93"/>
      <c r="DC27" s="93"/>
      <c r="DD27" s="93"/>
      <c r="DE27" s="93"/>
      <c r="DF27" s="93"/>
      <c r="DG27" s="93"/>
      <c r="DH27" s="93"/>
      <c r="DI27" s="93"/>
      <c r="DJ27" s="93"/>
      <c r="DK27" s="93"/>
      <c r="DL27" s="93"/>
      <c r="DM27" s="93"/>
      <c r="DN27" s="100"/>
      <c r="DO27" s="93"/>
      <c r="DP27" s="93">
        <v>1</v>
      </c>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row>
    <row r="28" spans="1:162" ht="7.5" customHeight="1">
      <c r="A28" s="93"/>
      <c r="B28" s="93"/>
      <c r="C28" s="97"/>
      <c r="D28" s="93"/>
      <c r="E28" s="93"/>
      <c r="F28" s="93"/>
      <c r="G28" s="93"/>
      <c r="H28" s="93"/>
      <c r="I28" s="93"/>
      <c r="J28" s="93"/>
      <c r="K28" s="93"/>
      <c r="L28" s="93"/>
      <c r="M28" s="93"/>
      <c r="N28" s="93"/>
      <c r="O28" s="93"/>
      <c r="P28" s="93"/>
      <c r="Q28" s="93"/>
      <c r="R28" s="93"/>
      <c r="S28" s="93"/>
      <c r="T28" s="93"/>
      <c r="U28" s="93"/>
      <c r="V28" s="319"/>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7"/>
      <c r="BS28" s="327"/>
      <c r="BT28" s="327"/>
      <c r="BU28" s="327"/>
      <c r="BV28" s="327"/>
      <c r="BW28" s="327"/>
      <c r="BX28" s="327"/>
      <c r="BY28" s="327"/>
      <c r="BZ28" s="327"/>
      <c r="CA28" s="327"/>
      <c r="CB28" s="327"/>
      <c r="CC28" s="327"/>
      <c r="CD28" s="327"/>
      <c r="CE28" s="327"/>
      <c r="CF28" s="327"/>
      <c r="CG28" s="327"/>
      <c r="CH28" s="327"/>
      <c r="CI28" s="327"/>
      <c r="CJ28" s="327"/>
      <c r="CK28" s="327"/>
      <c r="CL28" s="327"/>
      <c r="CM28" s="327"/>
      <c r="CN28" s="327"/>
      <c r="CO28" s="327"/>
      <c r="CP28" s="327"/>
      <c r="CQ28" s="327"/>
      <c r="CR28" s="327"/>
      <c r="CS28" s="327"/>
      <c r="CT28" s="327"/>
      <c r="CU28" s="327"/>
      <c r="CV28" s="327"/>
      <c r="CW28" s="327"/>
      <c r="CX28" s="327"/>
      <c r="CY28" s="327"/>
      <c r="CZ28" s="320"/>
      <c r="DA28" s="93"/>
      <c r="DB28" s="93"/>
      <c r="DC28" s="93"/>
      <c r="DD28" s="93"/>
      <c r="DE28" s="93"/>
      <c r="DF28" s="93"/>
      <c r="DG28" s="93"/>
      <c r="DH28" s="93"/>
      <c r="DI28" s="93"/>
      <c r="DJ28" s="93"/>
      <c r="DK28" s="93"/>
      <c r="DL28" s="93"/>
      <c r="DM28" s="93"/>
      <c r="DN28" s="100"/>
      <c r="DO28" s="93"/>
      <c r="DP28" s="93">
        <v>1</v>
      </c>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row>
    <row r="29" spans="1:162" ht="7.5" customHeight="1">
      <c r="A29" s="93"/>
      <c r="B29" s="93"/>
      <c r="C29" s="97"/>
      <c r="D29" s="93"/>
      <c r="E29" s="93"/>
      <c r="F29" s="93"/>
      <c r="G29" s="93"/>
      <c r="H29" s="93"/>
      <c r="I29" s="93"/>
      <c r="J29" s="93"/>
      <c r="K29" s="93"/>
      <c r="L29" s="93"/>
      <c r="M29" s="93"/>
      <c r="N29" s="93"/>
      <c r="O29" s="93"/>
      <c r="P29" s="93"/>
      <c r="Q29" s="93"/>
      <c r="R29" s="93"/>
      <c r="S29" s="93"/>
      <c r="T29" s="93"/>
      <c r="U29" s="93"/>
      <c r="V29" s="319"/>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7"/>
      <c r="BS29" s="327"/>
      <c r="BT29" s="327"/>
      <c r="BU29" s="327"/>
      <c r="BV29" s="327"/>
      <c r="BW29" s="327"/>
      <c r="BX29" s="327"/>
      <c r="BY29" s="327"/>
      <c r="BZ29" s="327"/>
      <c r="CA29" s="327"/>
      <c r="CB29" s="327"/>
      <c r="CC29" s="327"/>
      <c r="CD29" s="327"/>
      <c r="CE29" s="327"/>
      <c r="CF29" s="327"/>
      <c r="CG29" s="327"/>
      <c r="CH29" s="327"/>
      <c r="CI29" s="327"/>
      <c r="CJ29" s="327"/>
      <c r="CK29" s="327"/>
      <c r="CL29" s="327"/>
      <c r="CM29" s="327"/>
      <c r="CN29" s="327"/>
      <c r="CO29" s="327"/>
      <c r="CP29" s="327"/>
      <c r="CQ29" s="327"/>
      <c r="CR29" s="327"/>
      <c r="CS29" s="327"/>
      <c r="CT29" s="327"/>
      <c r="CU29" s="327"/>
      <c r="CV29" s="327"/>
      <c r="CW29" s="327"/>
      <c r="CX29" s="327"/>
      <c r="CY29" s="327"/>
      <c r="CZ29" s="320"/>
      <c r="DA29" s="93"/>
      <c r="DB29" s="93"/>
      <c r="DC29" s="93"/>
      <c r="DD29" s="93"/>
      <c r="DE29" s="93"/>
      <c r="DF29" s="93"/>
      <c r="DG29" s="93"/>
      <c r="DH29" s="93"/>
      <c r="DI29" s="93"/>
      <c r="DJ29" s="93"/>
      <c r="DK29" s="93"/>
      <c r="DL29" s="93"/>
      <c r="DM29" s="93"/>
      <c r="DN29" s="100"/>
      <c r="DO29" s="93"/>
      <c r="DP29" s="93">
        <v>1</v>
      </c>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row>
    <row r="30" spans="1:162" ht="7.5" customHeight="1">
      <c r="A30" s="93"/>
      <c r="B30" s="93"/>
      <c r="C30" s="97"/>
      <c r="D30" s="93"/>
      <c r="E30" s="93"/>
      <c r="F30" s="93"/>
      <c r="G30" s="93"/>
      <c r="H30" s="93"/>
      <c r="I30" s="93"/>
      <c r="J30" s="93"/>
      <c r="K30" s="93"/>
      <c r="L30" s="93"/>
      <c r="M30" s="93"/>
      <c r="N30" s="93"/>
      <c r="O30" s="93"/>
      <c r="P30" s="93"/>
      <c r="Q30" s="93"/>
      <c r="R30" s="93"/>
      <c r="S30" s="93"/>
      <c r="T30" s="93"/>
      <c r="U30" s="93"/>
      <c r="V30" s="328"/>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30"/>
      <c r="DA30" s="93"/>
      <c r="DB30" s="93"/>
      <c r="DC30" s="93"/>
      <c r="DD30" s="93"/>
      <c r="DE30" s="93"/>
      <c r="DF30" s="93"/>
      <c r="DG30" s="93"/>
      <c r="DH30" s="93"/>
      <c r="DI30" s="93"/>
      <c r="DJ30" s="93"/>
      <c r="DK30" s="93"/>
      <c r="DL30" s="93"/>
      <c r="DM30" s="93"/>
      <c r="DN30" s="100"/>
      <c r="DO30" s="93"/>
      <c r="DP30" s="93">
        <v>1</v>
      </c>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row>
    <row r="31" spans="1:162" ht="7.5" customHeight="1">
      <c r="A31" s="93"/>
      <c r="B31" s="93"/>
      <c r="C31" s="97"/>
      <c r="D31" s="93"/>
      <c r="E31" s="93"/>
      <c r="F31" s="93"/>
      <c r="G31" s="93"/>
      <c r="H31" s="93"/>
      <c r="I31" s="93"/>
      <c r="J31" s="93"/>
      <c r="K31" s="93"/>
      <c r="L31" s="93"/>
      <c r="M31" s="93"/>
      <c r="N31" s="93"/>
      <c r="O31" s="93"/>
      <c r="P31" s="93"/>
      <c r="Q31" s="93"/>
      <c r="R31" s="93"/>
      <c r="S31" s="93"/>
      <c r="T31" s="93"/>
      <c r="U31" s="93"/>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93"/>
      <c r="DB31" s="93"/>
      <c r="DC31" s="93"/>
      <c r="DD31" s="93"/>
      <c r="DE31" s="93"/>
      <c r="DF31" s="93"/>
      <c r="DG31" s="93"/>
      <c r="DH31" s="93"/>
      <c r="DI31" s="93"/>
      <c r="DJ31" s="93"/>
      <c r="DK31" s="93"/>
      <c r="DL31" s="93"/>
      <c r="DM31" s="93"/>
      <c r="DN31" s="100"/>
      <c r="DO31" s="93"/>
      <c r="DP31" s="93">
        <v>1</v>
      </c>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row>
    <row r="32" spans="1:162" ht="7.5" customHeight="1">
      <c r="A32" s="93"/>
      <c r="B32" s="93"/>
      <c r="C32" s="97"/>
      <c r="D32" s="93"/>
      <c r="E32" s="93"/>
      <c r="F32" s="93"/>
      <c r="G32" s="93"/>
      <c r="H32" s="93"/>
      <c r="I32" s="93"/>
      <c r="J32" s="93"/>
      <c r="K32" s="93"/>
      <c r="L32" s="93"/>
      <c r="M32" s="93"/>
      <c r="N32" s="93"/>
      <c r="O32" s="93"/>
      <c r="P32" s="93"/>
      <c r="Q32" s="93"/>
      <c r="R32" s="326">
        <v>3</v>
      </c>
      <c r="S32" s="317"/>
      <c r="T32" s="317"/>
      <c r="U32" s="318"/>
      <c r="V32" s="331" t="str">
        <f>VLOOKUP("step3_b",langTable,MATCH(langName,_lang!$A$1:$F$1,0),FALSE())</f>
        <v>Open the Predictions &amp; Results tab.  Type your predicted home / away score in the green cells.  Group standings recalculate automatically.  Top 2 from each group + 8 best 3rd-placed teams advance to the Round of 32. Scoring:  0 points for a wrong outcome.  1 point for the correct outcome (home win / draw / away win).  3 points for an exact scoreline.</v>
      </c>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c r="BU32" s="317"/>
      <c r="BV32" s="317"/>
      <c r="BW32" s="317"/>
      <c r="BX32" s="317"/>
      <c r="BY32" s="317"/>
      <c r="BZ32" s="317"/>
      <c r="CA32" s="317"/>
      <c r="CB32" s="317"/>
      <c r="CC32" s="317"/>
      <c r="CD32" s="317"/>
      <c r="CE32" s="317"/>
      <c r="CF32" s="317"/>
      <c r="CG32" s="317"/>
      <c r="CH32" s="317"/>
      <c r="CI32" s="317"/>
      <c r="CJ32" s="317"/>
      <c r="CK32" s="317"/>
      <c r="CL32" s="317"/>
      <c r="CM32" s="317"/>
      <c r="CN32" s="317"/>
      <c r="CO32" s="317"/>
      <c r="CP32" s="317"/>
      <c r="CQ32" s="317"/>
      <c r="CR32" s="317"/>
      <c r="CS32" s="317"/>
      <c r="CT32" s="317"/>
      <c r="CU32" s="317"/>
      <c r="CV32" s="317"/>
      <c r="CW32" s="317"/>
      <c r="CX32" s="317"/>
      <c r="CY32" s="317"/>
      <c r="CZ32" s="318"/>
      <c r="DA32" s="93"/>
      <c r="DB32" s="93"/>
      <c r="DC32" s="93"/>
      <c r="DD32" s="93"/>
      <c r="DE32" s="93"/>
      <c r="DF32" s="93"/>
      <c r="DG32" s="93"/>
      <c r="DH32" s="93"/>
      <c r="DI32" s="93"/>
      <c r="DJ32" s="93"/>
      <c r="DK32" s="93"/>
      <c r="DL32" s="93"/>
      <c r="DM32" s="93"/>
      <c r="DN32" s="100"/>
      <c r="DO32" s="93"/>
      <c r="DP32" s="93">
        <v>1</v>
      </c>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row>
    <row r="33" spans="1:162" ht="7.5" customHeight="1">
      <c r="A33" s="93"/>
      <c r="B33" s="93"/>
      <c r="C33" s="97"/>
      <c r="D33" s="93"/>
      <c r="E33" s="93"/>
      <c r="F33" s="93"/>
      <c r="G33" s="93"/>
      <c r="H33" s="93"/>
      <c r="I33" s="93"/>
      <c r="J33" s="93"/>
      <c r="K33" s="93"/>
      <c r="L33" s="93"/>
      <c r="M33" s="93"/>
      <c r="N33" s="93"/>
      <c r="O33" s="93"/>
      <c r="P33" s="93"/>
      <c r="Q33" s="93"/>
      <c r="R33" s="319"/>
      <c r="S33" s="327"/>
      <c r="T33" s="327"/>
      <c r="U33" s="320"/>
      <c r="V33" s="319"/>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c r="CH33" s="327"/>
      <c r="CI33" s="327"/>
      <c r="CJ33" s="327"/>
      <c r="CK33" s="327"/>
      <c r="CL33" s="327"/>
      <c r="CM33" s="327"/>
      <c r="CN33" s="327"/>
      <c r="CO33" s="327"/>
      <c r="CP33" s="327"/>
      <c r="CQ33" s="327"/>
      <c r="CR33" s="327"/>
      <c r="CS33" s="327"/>
      <c r="CT33" s="327"/>
      <c r="CU33" s="327"/>
      <c r="CV33" s="327"/>
      <c r="CW33" s="327"/>
      <c r="CX33" s="327"/>
      <c r="CY33" s="327"/>
      <c r="CZ33" s="320"/>
      <c r="DA33" s="93"/>
      <c r="DB33" s="93"/>
      <c r="DC33" s="93"/>
      <c r="DD33" s="93"/>
      <c r="DE33" s="93"/>
      <c r="DF33" s="93"/>
      <c r="DG33" s="93"/>
      <c r="DH33" s="93"/>
      <c r="DI33" s="93"/>
      <c r="DJ33" s="93"/>
      <c r="DK33" s="93"/>
      <c r="DL33" s="93"/>
      <c r="DM33" s="93"/>
      <c r="DN33" s="100"/>
      <c r="DO33" s="93"/>
      <c r="DP33" s="93">
        <v>1</v>
      </c>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row>
    <row r="34" spans="1:162" ht="7.5" customHeight="1">
      <c r="A34" s="93"/>
      <c r="B34" s="93"/>
      <c r="C34" s="97"/>
      <c r="D34" s="93"/>
      <c r="E34" s="93"/>
      <c r="F34" s="93"/>
      <c r="G34" s="93"/>
      <c r="H34" s="93"/>
      <c r="I34" s="93"/>
      <c r="J34" s="93"/>
      <c r="K34" s="93"/>
      <c r="L34" s="93"/>
      <c r="M34" s="93"/>
      <c r="N34" s="93"/>
      <c r="O34" s="93"/>
      <c r="P34" s="93"/>
      <c r="Q34" s="93"/>
      <c r="R34" s="319"/>
      <c r="S34" s="327"/>
      <c r="T34" s="327"/>
      <c r="U34" s="320"/>
      <c r="V34" s="319"/>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27"/>
      <c r="CF34" s="327"/>
      <c r="CG34" s="327"/>
      <c r="CH34" s="327"/>
      <c r="CI34" s="327"/>
      <c r="CJ34" s="327"/>
      <c r="CK34" s="327"/>
      <c r="CL34" s="327"/>
      <c r="CM34" s="327"/>
      <c r="CN34" s="327"/>
      <c r="CO34" s="327"/>
      <c r="CP34" s="327"/>
      <c r="CQ34" s="327"/>
      <c r="CR34" s="327"/>
      <c r="CS34" s="327"/>
      <c r="CT34" s="327"/>
      <c r="CU34" s="327"/>
      <c r="CV34" s="327"/>
      <c r="CW34" s="327"/>
      <c r="CX34" s="327"/>
      <c r="CY34" s="327"/>
      <c r="CZ34" s="320"/>
      <c r="DA34" s="93"/>
      <c r="DB34" s="93"/>
      <c r="DC34" s="93"/>
      <c r="DD34" s="93"/>
      <c r="DE34" s="93"/>
      <c r="DF34" s="93"/>
      <c r="DG34" s="93"/>
      <c r="DH34" s="93"/>
      <c r="DI34" s="93"/>
      <c r="DJ34" s="93"/>
      <c r="DK34" s="93"/>
      <c r="DL34" s="93"/>
      <c r="DM34" s="93"/>
      <c r="DN34" s="100"/>
      <c r="DO34" s="93"/>
      <c r="DP34" s="93">
        <v>1</v>
      </c>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row>
    <row r="35" spans="1:162" ht="7.5" customHeight="1">
      <c r="A35" s="93"/>
      <c r="B35" s="93"/>
      <c r="C35" s="97"/>
      <c r="D35" s="93"/>
      <c r="E35" s="93"/>
      <c r="F35" s="93"/>
      <c r="G35" s="93"/>
      <c r="H35" s="93"/>
      <c r="I35" s="93"/>
      <c r="J35" s="93"/>
      <c r="K35" s="93"/>
      <c r="L35" s="93"/>
      <c r="M35" s="93"/>
      <c r="N35" s="93"/>
      <c r="O35" s="93"/>
      <c r="P35" s="93"/>
      <c r="Q35" s="93"/>
      <c r="R35" s="328"/>
      <c r="S35" s="329"/>
      <c r="T35" s="329"/>
      <c r="U35" s="330"/>
      <c r="V35" s="319"/>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c r="CH35" s="327"/>
      <c r="CI35" s="327"/>
      <c r="CJ35" s="327"/>
      <c r="CK35" s="327"/>
      <c r="CL35" s="327"/>
      <c r="CM35" s="327"/>
      <c r="CN35" s="327"/>
      <c r="CO35" s="327"/>
      <c r="CP35" s="327"/>
      <c r="CQ35" s="327"/>
      <c r="CR35" s="327"/>
      <c r="CS35" s="327"/>
      <c r="CT35" s="327"/>
      <c r="CU35" s="327"/>
      <c r="CV35" s="327"/>
      <c r="CW35" s="327"/>
      <c r="CX35" s="327"/>
      <c r="CY35" s="327"/>
      <c r="CZ35" s="320"/>
      <c r="DA35" s="93"/>
      <c r="DB35" s="93"/>
      <c r="DC35" s="93"/>
      <c r="DD35" s="93"/>
      <c r="DE35" s="93"/>
      <c r="DF35" s="93"/>
      <c r="DG35" s="93"/>
      <c r="DH35" s="93"/>
      <c r="DI35" s="93"/>
      <c r="DJ35" s="93"/>
      <c r="DK35" s="93"/>
      <c r="DL35" s="93"/>
      <c r="DM35" s="93"/>
      <c r="DN35" s="100"/>
      <c r="DO35" s="93"/>
      <c r="DP35" s="93">
        <v>1</v>
      </c>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row>
    <row r="36" spans="1:162" ht="7.5" customHeight="1">
      <c r="A36" s="93"/>
      <c r="B36" s="93"/>
      <c r="C36" s="97"/>
      <c r="D36" s="93"/>
      <c r="E36" s="93"/>
      <c r="F36" s="93"/>
      <c r="G36" s="93"/>
      <c r="H36" s="93"/>
      <c r="I36" s="93"/>
      <c r="J36" s="93"/>
      <c r="K36" s="93"/>
      <c r="L36" s="93"/>
      <c r="M36" s="93"/>
      <c r="N36" s="93"/>
      <c r="O36" s="93"/>
      <c r="P36" s="93"/>
      <c r="Q36" s="93"/>
      <c r="R36" s="93"/>
      <c r="S36" s="93"/>
      <c r="T36" s="93"/>
      <c r="U36" s="93"/>
      <c r="V36" s="319"/>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c r="CH36" s="327"/>
      <c r="CI36" s="327"/>
      <c r="CJ36" s="327"/>
      <c r="CK36" s="327"/>
      <c r="CL36" s="327"/>
      <c r="CM36" s="327"/>
      <c r="CN36" s="327"/>
      <c r="CO36" s="327"/>
      <c r="CP36" s="327"/>
      <c r="CQ36" s="327"/>
      <c r="CR36" s="327"/>
      <c r="CS36" s="327"/>
      <c r="CT36" s="327"/>
      <c r="CU36" s="327"/>
      <c r="CV36" s="327"/>
      <c r="CW36" s="327"/>
      <c r="CX36" s="327"/>
      <c r="CY36" s="327"/>
      <c r="CZ36" s="320"/>
      <c r="DA36" s="93"/>
      <c r="DB36" s="93"/>
      <c r="DC36" s="93"/>
      <c r="DD36" s="93"/>
      <c r="DE36" s="93"/>
      <c r="DF36" s="93"/>
      <c r="DG36" s="93"/>
      <c r="DH36" s="93"/>
      <c r="DI36" s="93"/>
      <c r="DJ36" s="93"/>
      <c r="DK36" s="93"/>
      <c r="DL36" s="93"/>
      <c r="DM36" s="93"/>
      <c r="DN36" s="100"/>
      <c r="DO36" s="93"/>
      <c r="DP36" s="93">
        <v>1</v>
      </c>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row>
    <row r="37" spans="1:162" ht="7.5" customHeight="1">
      <c r="A37" s="93"/>
      <c r="B37" s="93"/>
      <c r="C37" s="97"/>
      <c r="D37" s="93"/>
      <c r="E37" s="93"/>
      <c r="F37" s="93"/>
      <c r="G37" s="93"/>
      <c r="H37" s="93"/>
      <c r="I37" s="93"/>
      <c r="J37" s="93"/>
      <c r="K37" s="93"/>
      <c r="L37" s="93"/>
      <c r="M37" s="93"/>
      <c r="N37" s="93"/>
      <c r="O37" s="93"/>
      <c r="P37" s="93"/>
      <c r="Q37" s="93"/>
      <c r="R37" s="93"/>
      <c r="S37" s="93"/>
      <c r="T37" s="93"/>
      <c r="U37" s="93"/>
      <c r="V37" s="319"/>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c r="CH37" s="327"/>
      <c r="CI37" s="327"/>
      <c r="CJ37" s="327"/>
      <c r="CK37" s="327"/>
      <c r="CL37" s="327"/>
      <c r="CM37" s="327"/>
      <c r="CN37" s="327"/>
      <c r="CO37" s="327"/>
      <c r="CP37" s="327"/>
      <c r="CQ37" s="327"/>
      <c r="CR37" s="327"/>
      <c r="CS37" s="327"/>
      <c r="CT37" s="327"/>
      <c r="CU37" s="327"/>
      <c r="CV37" s="327"/>
      <c r="CW37" s="327"/>
      <c r="CX37" s="327"/>
      <c r="CY37" s="327"/>
      <c r="CZ37" s="320"/>
      <c r="DA37" s="93"/>
      <c r="DB37" s="93"/>
      <c r="DC37" s="93"/>
      <c r="DD37" s="93"/>
      <c r="DE37" s="93"/>
      <c r="DF37" s="93"/>
      <c r="DG37" s="93"/>
      <c r="DH37" s="93"/>
      <c r="DI37" s="93"/>
      <c r="DJ37" s="93"/>
      <c r="DK37" s="93"/>
      <c r="DL37" s="93"/>
      <c r="DM37" s="93"/>
      <c r="DN37" s="100"/>
      <c r="DO37" s="93"/>
      <c r="DP37" s="93">
        <v>1</v>
      </c>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row>
    <row r="38" spans="1:162" ht="7.5" customHeight="1">
      <c r="A38" s="93"/>
      <c r="B38" s="93"/>
      <c r="C38" s="97"/>
      <c r="D38" s="93"/>
      <c r="E38" s="93"/>
      <c r="F38" s="93"/>
      <c r="G38" s="93"/>
      <c r="H38" s="93"/>
      <c r="I38" s="93"/>
      <c r="J38" s="93"/>
      <c r="K38" s="93"/>
      <c r="L38" s="93"/>
      <c r="M38" s="93"/>
      <c r="N38" s="93"/>
      <c r="O38" s="93"/>
      <c r="P38" s="93"/>
      <c r="Q38" s="93"/>
      <c r="R38" s="93"/>
      <c r="S38" s="93"/>
      <c r="T38" s="93"/>
      <c r="U38" s="93"/>
      <c r="V38" s="319"/>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7"/>
      <c r="BW38" s="327"/>
      <c r="BX38" s="327"/>
      <c r="BY38" s="327"/>
      <c r="BZ38" s="327"/>
      <c r="CA38" s="327"/>
      <c r="CB38" s="327"/>
      <c r="CC38" s="327"/>
      <c r="CD38" s="327"/>
      <c r="CE38" s="327"/>
      <c r="CF38" s="327"/>
      <c r="CG38" s="327"/>
      <c r="CH38" s="327"/>
      <c r="CI38" s="327"/>
      <c r="CJ38" s="327"/>
      <c r="CK38" s="327"/>
      <c r="CL38" s="327"/>
      <c r="CM38" s="327"/>
      <c r="CN38" s="327"/>
      <c r="CO38" s="327"/>
      <c r="CP38" s="327"/>
      <c r="CQ38" s="327"/>
      <c r="CR38" s="327"/>
      <c r="CS38" s="327"/>
      <c r="CT38" s="327"/>
      <c r="CU38" s="327"/>
      <c r="CV38" s="327"/>
      <c r="CW38" s="327"/>
      <c r="CX38" s="327"/>
      <c r="CY38" s="327"/>
      <c r="CZ38" s="320"/>
      <c r="DA38" s="93"/>
      <c r="DB38" s="93"/>
      <c r="DC38" s="93"/>
      <c r="DD38" s="93"/>
      <c r="DE38" s="93"/>
      <c r="DF38" s="93"/>
      <c r="DG38" s="93"/>
      <c r="DH38" s="93"/>
      <c r="DI38" s="93"/>
      <c r="DJ38" s="93"/>
      <c r="DK38" s="93"/>
      <c r="DL38" s="93"/>
      <c r="DM38" s="93"/>
      <c r="DN38" s="100"/>
      <c r="DO38" s="93"/>
      <c r="DP38" s="93">
        <v>1</v>
      </c>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row>
    <row r="39" spans="1:162" ht="7.5" customHeight="1">
      <c r="A39" s="93"/>
      <c r="B39" s="93"/>
      <c r="C39" s="97"/>
      <c r="D39" s="93"/>
      <c r="E39" s="93"/>
      <c r="F39" s="93"/>
      <c r="G39" s="93"/>
      <c r="H39" s="93"/>
      <c r="I39" s="93"/>
      <c r="J39" s="93"/>
      <c r="K39" s="93"/>
      <c r="L39" s="93"/>
      <c r="M39" s="93"/>
      <c r="N39" s="93"/>
      <c r="O39" s="93"/>
      <c r="P39" s="93"/>
      <c r="Q39" s="93"/>
      <c r="R39" s="93"/>
      <c r="S39" s="93"/>
      <c r="T39" s="93"/>
      <c r="U39" s="93"/>
      <c r="V39" s="328"/>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29"/>
      <c r="BZ39" s="329"/>
      <c r="CA39" s="329"/>
      <c r="CB39" s="329"/>
      <c r="CC39" s="329"/>
      <c r="CD39" s="329"/>
      <c r="CE39" s="329"/>
      <c r="CF39" s="329"/>
      <c r="CG39" s="329"/>
      <c r="CH39" s="329"/>
      <c r="CI39" s="329"/>
      <c r="CJ39" s="329"/>
      <c r="CK39" s="329"/>
      <c r="CL39" s="329"/>
      <c r="CM39" s="329"/>
      <c r="CN39" s="329"/>
      <c r="CO39" s="329"/>
      <c r="CP39" s="329"/>
      <c r="CQ39" s="329"/>
      <c r="CR39" s="329"/>
      <c r="CS39" s="329"/>
      <c r="CT39" s="329"/>
      <c r="CU39" s="329"/>
      <c r="CV39" s="329"/>
      <c r="CW39" s="329"/>
      <c r="CX39" s="329"/>
      <c r="CY39" s="329"/>
      <c r="CZ39" s="330"/>
      <c r="DA39" s="93"/>
      <c r="DB39" s="93"/>
      <c r="DC39" s="93"/>
      <c r="DD39" s="93"/>
      <c r="DE39" s="93"/>
      <c r="DF39" s="93"/>
      <c r="DG39" s="93"/>
      <c r="DH39" s="93"/>
      <c r="DI39" s="93"/>
      <c r="DJ39" s="93"/>
      <c r="DK39" s="93"/>
      <c r="DL39" s="93"/>
      <c r="DM39" s="93"/>
      <c r="DN39" s="100"/>
      <c r="DO39" s="93"/>
      <c r="DP39" s="93">
        <v>1</v>
      </c>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row>
    <row r="40" spans="1:162" ht="7.5" customHeight="1">
      <c r="A40" s="93"/>
      <c r="B40" s="93"/>
      <c r="C40" s="97"/>
      <c r="D40" s="93"/>
      <c r="E40" s="93"/>
      <c r="F40" s="93"/>
      <c r="G40" s="93"/>
      <c r="H40" s="93"/>
      <c r="I40" s="93"/>
      <c r="J40" s="93"/>
      <c r="K40" s="93"/>
      <c r="L40" s="93"/>
      <c r="M40" s="93"/>
      <c r="N40" s="93"/>
      <c r="O40" s="93"/>
      <c r="P40" s="93"/>
      <c r="Q40" s="93"/>
      <c r="R40" s="93"/>
      <c r="S40" s="93"/>
      <c r="T40" s="93"/>
      <c r="U40" s="93"/>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93"/>
      <c r="DB40" s="93"/>
      <c r="DC40" s="93"/>
      <c r="DD40" s="93"/>
      <c r="DE40" s="93"/>
      <c r="DF40" s="93"/>
      <c r="DG40" s="93"/>
      <c r="DH40" s="93"/>
      <c r="DI40" s="93"/>
      <c r="DJ40" s="93"/>
      <c r="DK40" s="93"/>
      <c r="DL40" s="93"/>
      <c r="DM40" s="93"/>
      <c r="DN40" s="100"/>
      <c r="DO40" s="93"/>
      <c r="DP40" s="93">
        <v>1</v>
      </c>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row>
    <row r="41" spans="1:162" ht="7.5" customHeight="1">
      <c r="A41" s="93"/>
      <c r="B41" s="93"/>
      <c r="C41" s="97"/>
      <c r="D41" s="93"/>
      <c r="E41" s="93"/>
      <c r="F41" s="93"/>
      <c r="G41" s="93"/>
      <c r="H41" s="93"/>
      <c r="I41" s="93"/>
      <c r="J41" s="93"/>
      <c r="K41" s="93"/>
      <c r="L41" s="93"/>
      <c r="M41" s="93"/>
      <c r="N41" s="93"/>
      <c r="O41" s="93"/>
      <c r="P41" s="93"/>
      <c r="Q41" s="93"/>
      <c r="R41" s="326">
        <v>4</v>
      </c>
      <c r="S41" s="317"/>
      <c r="T41" s="317"/>
      <c r="U41" s="318"/>
      <c r="V41" s="331" t="str">
        <f>VLOOKUP("step4_b",langTable,MATCH(langName,_lang!$A$1:$F$1,0),FALSE())</f>
        <v>When a real result is in, type it into the 'Actual' columns.  Actual overrides Predicted in every downstream calculation — but your prediction stays visible for comparison.  If a knockout match is tied at the end of normal time, select the winning team from the dropdown in the 'Pens / ET winner' column so the bracket advances.</v>
      </c>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317"/>
      <c r="CM41" s="317"/>
      <c r="CN41" s="317"/>
      <c r="CO41" s="317"/>
      <c r="CP41" s="317"/>
      <c r="CQ41" s="317"/>
      <c r="CR41" s="317"/>
      <c r="CS41" s="317"/>
      <c r="CT41" s="317"/>
      <c r="CU41" s="317"/>
      <c r="CV41" s="317"/>
      <c r="CW41" s="317"/>
      <c r="CX41" s="317"/>
      <c r="CY41" s="317"/>
      <c r="CZ41" s="318"/>
      <c r="DA41" s="93"/>
      <c r="DB41" s="93"/>
      <c r="DC41" s="93"/>
      <c r="DD41" s="93"/>
      <c r="DE41" s="93"/>
      <c r="DF41" s="93"/>
      <c r="DG41" s="93"/>
      <c r="DH41" s="93"/>
      <c r="DI41" s="93"/>
      <c r="DJ41" s="93"/>
      <c r="DK41" s="93"/>
      <c r="DL41" s="93"/>
      <c r="DM41" s="93"/>
      <c r="DN41" s="100"/>
      <c r="DO41" s="93"/>
      <c r="DP41" s="93">
        <v>1</v>
      </c>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row>
    <row r="42" spans="1:162" ht="7.5" customHeight="1">
      <c r="A42" s="93"/>
      <c r="B42" s="93"/>
      <c r="C42" s="97"/>
      <c r="D42" s="93"/>
      <c r="E42" s="93"/>
      <c r="F42" s="93"/>
      <c r="G42" s="93"/>
      <c r="H42" s="93"/>
      <c r="I42" s="93"/>
      <c r="J42" s="93"/>
      <c r="K42" s="93"/>
      <c r="L42" s="93"/>
      <c r="M42" s="93"/>
      <c r="N42" s="93"/>
      <c r="O42" s="93"/>
      <c r="P42" s="93"/>
      <c r="Q42" s="93"/>
      <c r="R42" s="319"/>
      <c r="S42" s="327"/>
      <c r="T42" s="327"/>
      <c r="U42" s="320"/>
      <c r="V42" s="319"/>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327"/>
      <c r="CH42" s="327"/>
      <c r="CI42" s="327"/>
      <c r="CJ42" s="327"/>
      <c r="CK42" s="327"/>
      <c r="CL42" s="327"/>
      <c r="CM42" s="327"/>
      <c r="CN42" s="327"/>
      <c r="CO42" s="327"/>
      <c r="CP42" s="327"/>
      <c r="CQ42" s="327"/>
      <c r="CR42" s="327"/>
      <c r="CS42" s="327"/>
      <c r="CT42" s="327"/>
      <c r="CU42" s="327"/>
      <c r="CV42" s="327"/>
      <c r="CW42" s="327"/>
      <c r="CX42" s="327"/>
      <c r="CY42" s="327"/>
      <c r="CZ42" s="320"/>
      <c r="DA42" s="93"/>
      <c r="DB42" s="93"/>
      <c r="DC42" s="93"/>
      <c r="DD42" s="93"/>
      <c r="DE42" s="93"/>
      <c r="DF42" s="93"/>
      <c r="DG42" s="93"/>
      <c r="DH42" s="93"/>
      <c r="DI42" s="93"/>
      <c r="DJ42" s="93"/>
      <c r="DK42" s="93"/>
      <c r="DL42" s="93"/>
      <c r="DM42" s="93"/>
      <c r="DN42" s="100"/>
      <c r="DO42" s="93"/>
      <c r="DP42" s="93">
        <v>1</v>
      </c>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row>
    <row r="43" spans="1:162" ht="7.5" customHeight="1">
      <c r="A43" s="93"/>
      <c r="B43" s="93"/>
      <c r="C43" s="97"/>
      <c r="D43" s="93"/>
      <c r="E43" s="93"/>
      <c r="F43" s="93"/>
      <c r="G43" s="93"/>
      <c r="H43" s="93"/>
      <c r="I43" s="93"/>
      <c r="J43" s="93"/>
      <c r="K43" s="93"/>
      <c r="L43" s="93"/>
      <c r="M43" s="93"/>
      <c r="N43" s="93"/>
      <c r="O43" s="93"/>
      <c r="P43" s="93"/>
      <c r="Q43" s="93"/>
      <c r="R43" s="319"/>
      <c r="S43" s="327"/>
      <c r="T43" s="327"/>
      <c r="U43" s="320"/>
      <c r="V43" s="319"/>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7"/>
      <c r="CG43" s="327"/>
      <c r="CH43" s="327"/>
      <c r="CI43" s="327"/>
      <c r="CJ43" s="327"/>
      <c r="CK43" s="327"/>
      <c r="CL43" s="327"/>
      <c r="CM43" s="327"/>
      <c r="CN43" s="327"/>
      <c r="CO43" s="327"/>
      <c r="CP43" s="327"/>
      <c r="CQ43" s="327"/>
      <c r="CR43" s="327"/>
      <c r="CS43" s="327"/>
      <c r="CT43" s="327"/>
      <c r="CU43" s="327"/>
      <c r="CV43" s="327"/>
      <c r="CW43" s="327"/>
      <c r="CX43" s="327"/>
      <c r="CY43" s="327"/>
      <c r="CZ43" s="320"/>
      <c r="DA43" s="93"/>
      <c r="DB43" s="93"/>
      <c r="DC43" s="93"/>
      <c r="DD43" s="93"/>
      <c r="DE43" s="93"/>
      <c r="DF43" s="93"/>
      <c r="DG43" s="93"/>
      <c r="DH43" s="93"/>
      <c r="DI43" s="93"/>
      <c r="DJ43" s="93"/>
      <c r="DK43" s="93"/>
      <c r="DL43" s="93"/>
      <c r="DM43" s="93"/>
      <c r="DN43" s="100"/>
      <c r="DO43" s="93"/>
      <c r="DP43" s="93">
        <v>1</v>
      </c>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row>
    <row r="44" spans="1:162" ht="7.5" customHeight="1">
      <c r="A44" s="93"/>
      <c r="B44" s="93"/>
      <c r="C44" s="97"/>
      <c r="D44" s="93"/>
      <c r="E44" s="93"/>
      <c r="F44" s="93"/>
      <c r="G44" s="93"/>
      <c r="H44" s="93"/>
      <c r="I44" s="93"/>
      <c r="J44" s="93"/>
      <c r="K44" s="93"/>
      <c r="L44" s="93"/>
      <c r="M44" s="93"/>
      <c r="N44" s="93"/>
      <c r="O44" s="93"/>
      <c r="P44" s="93"/>
      <c r="Q44" s="93"/>
      <c r="R44" s="328"/>
      <c r="S44" s="329"/>
      <c r="T44" s="329"/>
      <c r="U44" s="330"/>
      <c r="V44" s="319"/>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7"/>
      <c r="CG44" s="327"/>
      <c r="CH44" s="327"/>
      <c r="CI44" s="327"/>
      <c r="CJ44" s="327"/>
      <c r="CK44" s="327"/>
      <c r="CL44" s="327"/>
      <c r="CM44" s="327"/>
      <c r="CN44" s="327"/>
      <c r="CO44" s="327"/>
      <c r="CP44" s="327"/>
      <c r="CQ44" s="327"/>
      <c r="CR44" s="327"/>
      <c r="CS44" s="327"/>
      <c r="CT44" s="327"/>
      <c r="CU44" s="327"/>
      <c r="CV44" s="327"/>
      <c r="CW44" s="327"/>
      <c r="CX44" s="327"/>
      <c r="CY44" s="327"/>
      <c r="CZ44" s="320"/>
      <c r="DA44" s="93"/>
      <c r="DB44" s="93"/>
      <c r="DC44" s="93"/>
      <c r="DD44" s="93"/>
      <c r="DE44" s="93"/>
      <c r="DF44" s="93"/>
      <c r="DG44" s="93"/>
      <c r="DH44" s="93"/>
      <c r="DI44" s="93"/>
      <c r="DJ44" s="93"/>
      <c r="DK44" s="93"/>
      <c r="DL44" s="93"/>
      <c r="DM44" s="93"/>
      <c r="DN44" s="100"/>
      <c r="DO44" s="93"/>
      <c r="DP44" s="93">
        <v>1</v>
      </c>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row>
    <row r="45" spans="1:162" ht="7.5" customHeight="1">
      <c r="A45" s="93"/>
      <c r="B45" s="93"/>
      <c r="C45" s="97"/>
      <c r="D45" s="93"/>
      <c r="E45" s="93"/>
      <c r="F45" s="93"/>
      <c r="G45" s="93"/>
      <c r="H45" s="93"/>
      <c r="I45" s="93"/>
      <c r="J45" s="93"/>
      <c r="K45" s="93"/>
      <c r="L45" s="93"/>
      <c r="M45" s="93"/>
      <c r="N45" s="93"/>
      <c r="O45" s="93"/>
      <c r="P45" s="93"/>
      <c r="Q45" s="93"/>
      <c r="R45" s="93"/>
      <c r="S45" s="93"/>
      <c r="T45" s="93"/>
      <c r="U45" s="93"/>
      <c r="V45" s="319"/>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7"/>
      <c r="CX45" s="327"/>
      <c r="CY45" s="327"/>
      <c r="CZ45" s="320"/>
      <c r="DA45" s="93"/>
      <c r="DB45" s="93"/>
      <c r="DC45" s="93"/>
      <c r="DD45" s="93"/>
      <c r="DE45" s="93"/>
      <c r="DF45" s="93"/>
      <c r="DG45" s="93"/>
      <c r="DH45" s="93"/>
      <c r="DI45" s="93"/>
      <c r="DJ45" s="93"/>
      <c r="DK45" s="93"/>
      <c r="DL45" s="93"/>
      <c r="DM45" s="93"/>
      <c r="DN45" s="100"/>
      <c r="DO45" s="93"/>
      <c r="DP45" s="93">
        <v>1</v>
      </c>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row>
    <row r="46" spans="1:162" ht="7.5" customHeight="1">
      <c r="A46" s="93"/>
      <c r="B46" s="93"/>
      <c r="C46" s="97"/>
      <c r="D46" s="93"/>
      <c r="E46" s="93"/>
      <c r="F46" s="93"/>
      <c r="G46" s="93"/>
      <c r="H46" s="93"/>
      <c r="I46" s="93"/>
      <c r="J46" s="93"/>
      <c r="K46" s="93"/>
      <c r="L46" s="93"/>
      <c r="M46" s="93"/>
      <c r="N46" s="93"/>
      <c r="O46" s="93"/>
      <c r="P46" s="93"/>
      <c r="Q46" s="93"/>
      <c r="R46" s="93"/>
      <c r="S46" s="93"/>
      <c r="T46" s="93"/>
      <c r="U46" s="93"/>
      <c r="V46" s="319"/>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c r="CH46" s="327"/>
      <c r="CI46" s="327"/>
      <c r="CJ46" s="327"/>
      <c r="CK46" s="327"/>
      <c r="CL46" s="327"/>
      <c r="CM46" s="327"/>
      <c r="CN46" s="327"/>
      <c r="CO46" s="327"/>
      <c r="CP46" s="327"/>
      <c r="CQ46" s="327"/>
      <c r="CR46" s="327"/>
      <c r="CS46" s="327"/>
      <c r="CT46" s="327"/>
      <c r="CU46" s="327"/>
      <c r="CV46" s="327"/>
      <c r="CW46" s="327"/>
      <c r="CX46" s="327"/>
      <c r="CY46" s="327"/>
      <c r="CZ46" s="320"/>
      <c r="DA46" s="93"/>
      <c r="DB46" s="93"/>
      <c r="DC46" s="93"/>
      <c r="DD46" s="93"/>
      <c r="DE46" s="93"/>
      <c r="DF46" s="93"/>
      <c r="DG46" s="93"/>
      <c r="DH46" s="93"/>
      <c r="DI46" s="93"/>
      <c r="DJ46" s="93"/>
      <c r="DK46" s="93"/>
      <c r="DL46" s="93"/>
      <c r="DM46" s="93"/>
      <c r="DN46" s="100"/>
      <c r="DO46" s="93"/>
      <c r="DP46" s="93">
        <v>1</v>
      </c>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row>
    <row r="47" spans="1:162" ht="7.5" customHeight="1">
      <c r="A47" s="93"/>
      <c r="B47" s="93"/>
      <c r="C47" s="97"/>
      <c r="D47" s="93"/>
      <c r="E47" s="93"/>
      <c r="F47" s="93"/>
      <c r="G47" s="93"/>
      <c r="H47" s="93"/>
      <c r="I47" s="93"/>
      <c r="J47" s="93"/>
      <c r="K47" s="93"/>
      <c r="L47" s="93"/>
      <c r="M47" s="93"/>
      <c r="N47" s="93"/>
      <c r="O47" s="93"/>
      <c r="P47" s="93"/>
      <c r="Q47" s="93"/>
      <c r="R47" s="93"/>
      <c r="S47" s="93"/>
      <c r="T47" s="93"/>
      <c r="U47" s="93"/>
      <c r="V47" s="319"/>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27"/>
      <c r="CI47" s="327"/>
      <c r="CJ47" s="327"/>
      <c r="CK47" s="327"/>
      <c r="CL47" s="327"/>
      <c r="CM47" s="327"/>
      <c r="CN47" s="327"/>
      <c r="CO47" s="327"/>
      <c r="CP47" s="327"/>
      <c r="CQ47" s="327"/>
      <c r="CR47" s="327"/>
      <c r="CS47" s="327"/>
      <c r="CT47" s="327"/>
      <c r="CU47" s="327"/>
      <c r="CV47" s="327"/>
      <c r="CW47" s="327"/>
      <c r="CX47" s="327"/>
      <c r="CY47" s="327"/>
      <c r="CZ47" s="320"/>
      <c r="DA47" s="93"/>
      <c r="DB47" s="93"/>
      <c r="DC47" s="93"/>
      <c r="DD47" s="93"/>
      <c r="DE47" s="93"/>
      <c r="DF47" s="93"/>
      <c r="DG47" s="93"/>
      <c r="DH47" s="93"/>
      <c r="DI47" s="93"/>
      <c r="DJ47" s="93"/>
      <c r="DK47" s="93"/>
      <c r="DL47" s="93"/>
      <c r="DM47" s="93"/>
      <c r="DN47" s="100"/>
      <c r="DO47" s="93"/>
      <c r="DP47" s="93">
        <v>1</v>
      </c>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row>
    <row r="48" spans="1:162" ht="7.5" customHeight="1">
      <c r="A48" s="93"/>
      <c r="B48" s="93"/>
      <c r="C48" s="97"/>
      <c r="D48" s="93"/>
      <c r="E48" s="93"/>
      <c r="F48" s="93"/>
      <c r="G48" s="93"/>
      <c r="H48" s="93"/>
      <c r="I48" s="93"/>
      <c r="J48" s="93"/>
      <c r="K48" s="93"/>
      <c r="L48" s="93"/>
      <c r="M48" s="93"/>
      <c r="N48" s="93"/>
      <c r="O48" s="93"/>
      <c r="P48" s="93"/>
      <c r="Q48" s="93"/>
      <c r="R48" s="93"/>
      <c r="S48" s="93"/>
      <c r="T48" s="93"/>
      <c r="U48" s="93"/>
      <c r="V48" s="328"/>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30"/>
      <c r="DA48" s="93"/>
      <c r="DB48" s="93"/>
      <c r="DC48" s="93"/>
      <c r="DD48" s="93"/>
      <c r="DE48" s="93"/>
      <c r="DF48" s="93"/>
      <c r="DG48" s="93"/>
      <c r="DH48" s="93"/>
      <c r="DI48" s="93"/>
      <c r="DJ48" s="93"/>
      <c r="DK48" s="93"/>
      <c r="DL48" s="93"/>
      <c r="DM48" s="93"/>
      <c r="DN48" s="100"/>
      <c r="DO48" s="93"/>
      <c r="DP48" s="93">
        <v>1</v>
      </c>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row>
    <row r="49" spans="1:162" ht="7.5" customHeight="1">
      <c r="A49" s="93"/>
      <c r="B49" s="93"/>
      <c r="C49" s="97"/>
      <c r="D49" s="93"/>
      <c r="E49" s="93"/>
      <c r="F49" s="93"/>
      <c r="G49" s="93"/>
      <c r="H49" s="93"/>
      <c r="I49" s="93"/>
      <c r="J49" s="93"/>
      <c r="K49" s="93"/>
      <c r="L49" s="93"/>
      <c r="M49" s="93"/>
      <c r="N49" s="93"/>
      <c r="O49" s="93"/>
      <c r="P49" s="93"/>
      <c r="Q49" s="93"/>
      <c r="R49" s="93"/>
      <c r="S49" s="93"/>
      <c r="T49" s="93"/>
      <c r="U49" s="93"/>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93"/>
      <c r="DB49" s="93"/>
      <c r="DC49" s="93"/>
      <c r="DD49" s="93"/>
      <c r="DE49" s="93"/>
      <c r="DF49" s="93"/>
      <c r="DG49" s="93"/>
      <c r="DH49" s="93"/>
      <c r="DI49" s="93"/>
      <c r="DJ49" s="93"/>
      <c r="DK49" s="93"/>
      <c r="DL49" s="93"/>
      <c r="DM49" s="93"/>
      <c r="DN49" s="100"/>
      <c r="DO49" s="93"/>
      <c r="DP49" s="93">
        <v>1</v>
      </c>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row>
    <row r="50" spans="1:162" ht="7.5" customHeight="1">
      <c r="A50" s="93"/>
      <c r="B50" s="93"/>
      <c r="C50" s="97"/>
      <c r="D50" s="93"/>
      <c r="E50" s="93"/>
      <c r="F50" s="93"/>
      <c r="G50" s="93"/>
      <c r="H50" s="93"/>
      <c r="I50" s="93"/>
      <c r="J50" s="93"/>
      <c r="K50" s="93"/>
      <c r="L50" s="93"/>
      <c r="M50" s="93"/>
      <c r="N50" s="93"/>
      <c r="O50" s="93"/>
      <c r="P50" s="93"/>
      <c r="Q50" s="93"/>
      <c r="R50" s="326">
        <v>5</v>
      </c>
      <c r="S50" s="317"/>
      <c r="T50" s="317"/>
      <c r="U50" s="318"/>
      <c r="V50" s="331" t="str">
        <f>VLOOKUP("step6_b",langTable,MATCH(langName,_lang!$A$1:$F$1,0),FALSE())</f>
        <v>Open the Sweepstake tab and type a player's name next to each team — use the same name on multiple teams to give one person several. Set your own prizes for 1st (Champion), 2nd (Runner-up) and 3rd (3rd-place play-off winner). Results lock in at the final whistle.</v>
      </c>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317"/>
      <c r="CM50" s="317"/>
      <c r="CN50" s="317"/>
      <c r="CO50" s="317"/>
      <c r="CP50" s="317"/>
      <c r="CQ50" s="317"/>
      <c r="CR50" s="317"/>
      <c r="CS50" s="317"/>
      <c r="CT50" s="317"/>
      <c r="CU50" s="317"/>
      <c r="CV50" s="317"/>
      <c r="CW50" s="317"/>
      <c r="CX50" s="317"/>
      <c r="CY50" s="317"/>
      <c r="CZ50" s="318"/>
      <c r="DA50" s="93"/>
      <c r="DB50" s="93"/>
      <c r="DC50" s="93"/>
      <c r="DD50" s="93"/>
      <c r="DE50" s="93"/>
      <c r="DF50" s="93"/>
      <c r="DG50" s="93"/>
      <c r="DH50" s="93"/>
      <c r="DI50" s="93"/>
      <c r="DJ50" s="93"/>
      <c r="DK50" s="93"/>
      <c r="DL50" s="93"/>
      <c r="DM50" s="93"/>
      <c r="DN50" s="100"/>
      <c r="DO50" s="93"/>
      <c r="DP50" s="93">
        <v>1</v>
      </c>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row>
    <row r="51" spans="1:162" ht="7.5" customHeight="1">
      <c r="A51" s="93"/>
      <c r="B51" s="93"/>
      <c r="C51" s="97"/>
      <c r="D51" s="93"/>
      <c r="E51" s="93"/>
      <c r="F51" s="93"/>
      <c r="G51" s="93"/>
      <c r="H51" s="93"/>
      <c r="I51" s="93"/>
      <c r="J51" s="93"/>
      <c r="K51" s="93"/>
      <c r="L51" s="93"/>
      <c r="M51" s="93"/>
      <c r="N51" s="93"/>
      <c r="O51" s="93"/>
      <c r="P51" s="93"/>
      <c r="Q51" s="93"/>
      <c r="R51" s="319"/>
      <c r="S51" s="327"/>
      <c r="T51" s="327"/>
      <c r="U51" s="320"/>
      <c r="V51" s="319"/>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7"/>
      <c r="CG51" s="327"/>
      <c r="CH51" s="327"/>
      <c r="CI51" s="327"/>
      <c r="CJ51" s="327"/>
      <c r="CK51" s="327"/>
      <c r="CL51" s="327"/>
      <c r="CM51" s="327"/>
      <c r="CN51" s="327"/>
      <c r="CO51" s="327"/>
      <c r="CP51" s="327"/>
      <c r="CQ51" s="327"/>
      <c r="CR51" s="327"/>
      <c r="CS51" s="327"/>
      <c r="CT51" s="327"/>
      <c r="CU51" s="327"/>
      <c r="CV51" s="327"/>
      <c r="CW51" s="327"/>
      <c r="CX51" s="327"/>
      <c r="CY51" s="327"/>
      <c r="CZ51" s="320"/>
      <c r="DA51" s="93"/>
      <c r="DB51" s="93"/>
      <c r="DC51" s="93"/>
      <c r="DD51" s="93"/>
      <c r="DE51" s="93"/>
      <c r="DF51" s="93"/>
      <c r="DG51" s="93"/>
      <c r="DH51" s="93"/>
      <c r="DI51" s="93"/>
      <c r="DJ51" s="93"/>
      <c r="DK51" s="93"/>
      <c r="DL51" s="93"/>
      <c r="DM51" s="93"/>
      <c r="DN51" s="100"/>
      <c r="DO51" s="93"/>
      <c r="DP51" s="93">
        <v>1</v>
      </c>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row>
    <row r="52" spans="1:162" ht="7.5" customHeight="1">
      <c r="A52" s="93"/>
      <c r="B52" s="93"/>
      <c r="C52" s="97"/>
      <c r="D52" s="93"/>
      <c r="E52" s="93"/>
      <c r="F52" s="93"/>
      <c r="G52" s="93"/>
      <c r="H52" s="93"/>
      <c r="I52" s="93"/>
      <c r="J52" s="93"/>
      <c r="K52" s="93"/>
      <c r="L52" s="93"/>
      <c r="M52" s="93"/>
      <c r="N52" s="93"/>
      <c r="O52" s="93"/>
      <c r="P52" s="93"/>
      <c r="Q52" s="93"/>
      <c r="R52" s="319"/>
      <c r="S52" s="327"/>
      <c r="T52" s="327"/>
      <c r="U52" s="320"/>
      <c r="V52" s="319"/>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c r="CH52" s="327"/>
      <c r="CI52" s="327"/>
      <c r="CJ52" s="327"/>
      <c r="CK52" s="327"/>
      <c r="CL52" s="327"/>
      <c r="CM52" s="327"/>
      <c r="CN52" s="327"/>
      <c r="CO52" s="327"/>
      <c r="CP52" s="327"/>
      <c r="CQ52" s="327"/>
      <c r="CR52" s="327"/>
      <c r="CS52" s="327"/>
      <c r="CT52" s="327"/>
      <c r="CU52" s="327"/>
      <c r="CV52" s="327"/>
      <c r="CW52" s="327"/>
      <c r="CX52" s="327"/>
      <c r="CY52" s="327"/>
      <c r="CZ52" s="320"/>
      <c r="DA52" s="93"/>
      <c r="DB52" s="93"/>
      <c r="DC52" s="93"/>
      <c r="DD52" s="93"/>
      <c r="DE52" s="93"/>
      <c r="DF52" s="93"/>
      <c r="DG52" s="93"/>
      <c r="DH52" s="93"/>
      <c r="DI52" s="93"/>
      <c r="DJ52" s="93"/>
      <c r="DK52" s="93"/>
      <c r="DL52" s="93"/>
      <c r="DM52" s="93"/>
      <c r="DN52" s="100"/>
      <c r="DO52" s="93"/>
      <c r="DP52" s="93">
        <v>1</v>
      </c>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row>
    <row r="53" spans="1:162" ht="7.5" customHeight="1">
      <c r="A53" s="93"/>
      <c r="B53" s="93"/>
      <c r="C53" s="97"/>
      <c r="D53" s="93"/>
      <c r="E53" s="93"/>
      <c r="F53" s="93"/>
      <c r="G53" s="93"/>
      <c r="H53" s="93"/>
      <c r="I53" s="93"/>
      <c r="J53" s="93"/>
      <c r="K53" s="93"/>
      <c r="L53" s="93"/>
      <c r="M53" s="93"/>
      <c r="N53" s="93"/>
      <c r="O53" s="93"/>
      <c r="P53" s="93"/>
      <c r="Q53" s="93"/>
      <c r="R53" s="328"/>
      <c r="S53" s="329"/>
      <c r="T53" s="329"/>
      <c r="U53" s="330"/>
      <c r="V53" s="319"/>
      <c r="W53" s="327"/>
      <c r="X53" s="327"/>
      <c r="Y53" s="327"/>
      <c r="Z53" s="32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7"/>
      <c r="CP53" s="327"/>
      <c r="CQ53" s="327"/>
      <c r="CR53" s="327"/>
      <c r="CS53" s="327"/>
      <c r="CT53" s="327"/>
      <c r="CU53" s="327"/>
      <c r="CV53" s="327"/>
      <c r="CW53" s="327"/>
      <c r="CX53" s="327"/>
      <c r="CY53" s="327"/>
      <c r="CZ53" s="320"/>
      <c r="DA53" s="93"/>
      <c r="DB53" s="93"/>
      <c r="DC53" s="93"/>
      <c r="DD53" s="93"/>
      <c r="DE53" s="93"/>
      <c r="DF53" s="93"/>
      <c r="DG53" s="93"/>
      <c r="DH53" s="93"/>
      <c r="DI53" s="93"/>
      <c r="DJ53" s="93"/>
      <c r="DK53" s="93"/>
      <c r="DL53" s="93"/>
      <c r="DM53" s="93"/>
      <c r="DN53" s="100"/>
      <c r="DO53" s="93"/>
      <c r="DP53" s="93">
        <v>1</v>
      </c>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row>
    <row r="54" spans="1:162" ht="7.5" customHeight="1">
      <c r="A54" s="93"/>
      <c r="B54" s="93"/>
      <c r="C54" s="97"/>
      <c r="D54" s="93"/>
      <c r="E54" s="93"/>
      <c r="F54" s="93"/>
      <c r="G54" s="93"/>
      <c r="H54" s="93"/>
      <c r="I54" s="93"/>
      <c r="J54" s="93"/>
      <c r="K54" s="93"/>
      <c r="L54" s="93"/>
      <c r="M54" s="93"/>
      <c r="N54" s="93"/>
      <c r="O54" s="93"/>
      <c r="P54" s="93"/>
      <c r="Q54" s="93"/>
      <c r="R54" s="93"/>
      <c r="S54" s="93"/>
      <c r="T54" s="93"/>
      <c r="U54" s="93"/>
      <c r="V54" s="319"/>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7"/>
      <c r="BW54" s="327"/>
      <c r="BX54" s="327"/>
      <c r="BY54" s="327"/>
      <c r="BZ54" s="327"/>
      <c r="CA54" s="327"/>
      <c r="CB54" s="327"/>
      <c r="CC54" s="327"/>
      <c r="CD54" s="327"/>
      <c r="CE54" s="327"/>
      <c r="CF54" s="327"/>
      <c r="CG54" s="327"/>
      <c r="CH54" s="327"/>
      <c r="CI54" s="327"/>
      <c r="CJ54" s="327"/>
      <c r="CK54" s="327"/>
      <c r="CL54" s="327"/>
      <c r="CM54" s="327"/>
      <c r="CN54" s="327"/>
      <c r="CO54" s="327"/>
      <c r="CP54" s="327"/>
      <c r="CQ54" s="327"/>
      <c r="CR54" s="327"/>
      <c r="CS54" s="327"/>
      <c r="CT54" s="327"/>
      <c r="CU54" s="327"/>
      <c r="CV54" s="327"/>
      <c r="CW54" s="327"/>
      <c r="CX54" s="327"/>
      <c r="CY54" s="327"/>
      <c r="CZ54" s="320"/>
      <c r="DA54" s="93"/>
      <c r="DB54" s="93"/>
      <c r="DC54" s="93"/>
      <c r="DD54" s="93"/>
      <c r="DE54" s="93"/>
      <c r="DF54" s="93"/>
      <c r="DG54" s="93"/>
      <c r="DH54" s="93"/>
      <c r="DI54" s="93"/>
      <c r="DJ54" s="93"/>
      <c r="DK54" s="93"/>
      <c r="DL54" s="93"/>
      <c r="DM54" s="93"/>
      <c r="DN54" s="100"/>
      <c r="DO54" s="93"/>
      <c r="DP54" s="93">
        <v>1</v>
      </c>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row>
    <row r="55" spans="1:162" ht="7.5" customHeight="1">
      <c r="A55" s="93"/>
      <c r="B55" s="93"/>
      <c r="C55" s="97"/>
      <c r="D55" s="93"/>
      <c r="E55" s="93"/>
      <c r="F55" s="93"/>
      <c r="G55" s="93"/>
      <c r="H55" s="93"/>
      <c r="I55" s="93"/>
      <c r="J55" s="93"/>
      <c r="K55" s="93"/>
      <c r="L55" s="93"/>
      <c r="M55" s="93"/>
      <c r="N55" s="93"/>
      <c r="O55" s="93"/>
      <c r="P55" s="93"/>
      <c r="Q55" s="93"/>
      <c r="R55" s="93"/>
      <c r="S55" s="93"/>
      <c r="T55" s="93"/>
      <c r="U55" s="93"/>
      <c r="V55" s="319"/>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7"/>
      <c r="CG55" s="327"/>
      <c r="CH55" s="327"/>
      <c r="CI55" s="327"/>
      <c r="CJ55" s="327"/>
      <c r="CK55" s="327"/>
      <c r="CL55" s="327"/>
      <c r="CM55" s="327"/>
      <c r="CN55" s="327"/>
      <c r="CO55" s="327"/>
      <c r="CP55" s="327"/>
      <c r="CQ55" s="327"/>
      <c r="CR55" s="327"/>
      <c r="CS55" s="327"/>
      <c r="CT55" s="327"/>
      <c r="CU55" s="327"/>
      <c r="CV55" s="327"/>
      <c r="CW55" s="327"/>
      <c r="CX55" s="327"/>
      <c r="CY55" s="327"/>
      <c r="CZ55" s="320"/>
      <c r="DA55" s="93"/>
      <c r="DB55" s="93"/>
      <c r="DC55" s="93"/>
      <c r="DD55" s="93"/>
      <c r="DE55" s="93"/>
      <c r="DF55" s="93"/>
      <c r="DG55" s="93"/>
      <c r="DH55" s="93"/>
      <c r="DI55" s="93"/>
      <c r="DJ55" s="93"/>
      <c r="DK55" s="93"/>
      <c r="DL55" s="93"/>
      <c r="DM55" s="93"/>
      <c r="DN55" s="100"/>
      <c r="DO55" s="93"/>
      <c r="DP55" s="93">
        <v>1</v>
      </c>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row>
    <row r="56" spans="1:162" ht="7.5" customHeight="1">
      <c r="A56" s="93"/>
      <c r="B56" s="93"/>
      <c r="C56" s="97"/>
      <c r="D56" s="93"/>
      <c r="E56" s="93"/>
      <c r="F56" s="93"/>
      <c r="G56" s="93"/>
      <c r="H56" s="93"/>
      <c r="I56" s="93"/>
      <c r="J56" s="93"/>
      <c r="K56" s="93"/>
      <c r="L56" s="93"/>
      <c r="M56" s="93"/>
      <c r="N56" s="93"/>
      <c r="O56" s="93"/>
      <c r="P56" s="93"/>
      <c r="Q56" s="93"/>
      <c r="R56" s="93"/>
      <c r="S56" s="93"/>
      <c r="T56" s="93"/>
      <c r="U56" s="93"/>
      <c r="V56" s="319"/>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7"/>
      <c r="CG56" s="327"/>
      <c r="CH56" s="327"/>
      <c r="CI56" s="327"/>
      <c r="CJ56" s="327"/>
      <c r="CK56" s="327"/>
      <c r="CL56" s="327"/>
      <c r="CM56" s="327"/>
      <c r="CN56" s="327"/>
      <c r="CO56" s="327"/>
      <c r="CP56" s="327"/>
      <c r="CQ56" s="327"/>
      <c r="CR56" s="327"/>
      <c r="CS56" s="327"/>
      <c r="CT56" s="327"/>
      <c r="CU56" s="327"/>
      <c r="CV56" s="327"/>
      <c r="CW56" s="327"/>
      <c r="CX56" s="327"/>
      <c r="CY56" s="327"/>
      <c r="CZ56" s="320"/>
      <c r="DA56" s="93"/>
      <c r="DB56" s="93"/>
      <c r="DC56" s="93"/>
      <c r="DD56" s="93"/>
      <c r="DE56" s="93"/>
      <c r="DF56" s="93"/>
      <c r="DG56" s="93"/>
      <c r="DH56" s="93"/>
      <c r="DI56" s="93"/>
      <c r="DJ56" s="93"/>
      <c r="DK56" s="93"/>
      <c r="DL56" s="93"/>
      <c r="DM56" s="93"/>
      <c r="DN56" s="100"/>
      <c r="DO56" s="93"/>
      <c r="DP56" s="93">
        <v>1</v>
      </c>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row>
    <row r="57" spans="1:162" ht="7.5" customHeight="1">
      <c r="A57" s="93"/>
      <c r="B57" s="93"/>
      <c r="C57" s="97"/>
      <c r="D57" s="93"/>
      <c r="E57" s="93"/>
      <c r="F57" s="93"/>
      <c r="G57" s="93"/>
      <c r="H57" s="93"/>
      <c r="I57" s="93"/>
      <c r="J57" s="93"/>
      <c r="K57" s="93"/>
      <c r="L57" s="93"/>
      <c r="M57" s="93"/>
      <c r="N57" s="93"/>
      <c r="O57" s="93"/>
      <c r="P57" s="93"/>
      <c r="Q57" s="93"/>
      <c r="R57" s="93"/>
      <c r="S57" s="93"/>
      <c r="T57" s="93"/>
      <c r="U57" s="93"/>
      <c r="V57" s="328"/>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I57" s="329"/>
      <c r="CJ57" s="329"/>
      <c r="CK57" s="329"/>
      <c r="CL57" s="329"/>
      <c r="CM57" s="329"/>
      <c r="CN57" s="329"/>
      <c r="CO57" s="329"/>
      <c r="CP57" s="329"/>
      <c r="CQ57" s="329"/>
      <c r="CR57" s="329"/>
      <c r="CS57" s="329"/>
      <c r="CT57" s="329"/>
      <c r="CU57" s="329"/>
      <c r="CV57" s="329"/>
      <c r="CW57" s="329"/>
      <c r="CX57" s="329"/>
      <c r="CY57" s="329"/>
      <c r="CZ57" s="330"/>
      <c r="DA57" s="93"/>
      <c r="DB57" s="93"/>
      <c r="DC57" s="93"/>
      <c r="DD57" s="93"/>
      <c r="DE57" s="93"/>
      <c r="DF57" s="93"/>
      <c r="DG57" s="93"/>
      <c r="DH57" s="93"/>
      <c r="DI57" s="93"/>
      <c r="DJ57" s="93"/>
      <c r="DK57" s="93"/>
      <c r="DL57" s="93"/>
      <c r="DM57" s="93"/>
      <c r="DN57" s="100"/>
      <c r="DO57" s="93"/>
      <c r="DP57" s="93">
        <v>1</v>
      </c>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row>
    <row r="58" spans="1:162" ht="7.5" customHeight="1">
      <c r="A58" s="93"/>
      <c r="B58" s="93"/>
      <c r="C58" s="97"/>
      <c r="D58" s="93"/>
      <c r="E58" s="93"/>
      <c r="F58" s="93"/>
      <c r="G58" s="93"/>
      <c r="H58" s="93"/>
      <c r="I58" s="93"/>
      <c r="J58" s="93"/>
      <c r="K58" s="93"/>
      <c r="L58" s="93"/>
      <c r="M58" s="93"/>
      <c r="N58" s="93"/>
      <c r="O58" s="93"/>
      <c r="P58" s="93"/>
      <c r="Q58" s="93"/>
      <c r="R58" s="93"/>
      <c r="S58" s="93"/>
      <c r="T58" s="93"/>
      <c r="U58" s="93"/>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93"/>
      <c r="DB58" s="93"/>
      <c r="DC58" s="93"/>
      <c r="DD58" s="93"/>
      <c r="DE58" s="93"/>
      <c r="DF58" s="93"/>
      <c r="DG58" s="93"/>
      <c r="DH58" s="93"/>
      <c r="DI58" s="93"/>
      <c r="DJ58" s="93"/>
      <c r="DK58" s="93"/>
      <c r="DL58" s="93"/>
      <c r="DM58" s="93"/>
      <c r="DN58" s="100"/>
      <c r="DO58" s="93"/>
      <c r="DP58" s="93">
        <v>1</v>
      </c>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row>
    <row r="59" spans="1:162" ht="7.5" customHeight="1">
      <c r="A59" s="93"/>
      <c r="B59" s="93"/>
      <c r="C59" s="97"/>
      <c r="D59" s="93"/>
      <c r="E59" s="93"/>
      <c r="F59" s="93"/>
      <c r="G59" s="93"/>
      <c r="H59" s="93"/>
      <c r="I59" s="93"/>
      <c r="J59" s="93"/>
      <c r="K59" s="93"/>
      <c r="L59" s="93"/>
      <c r="M59" s="93"/>
      <c r="N59" s="93"/>
      <c r="O59" s="93"/>
      <c r="P59" s="93"/>
      <c r="Q59" s="93"/>
      <c r="R59" s="326">
        <v>6</v>
      </c>
      <c r="S59" s="317"/>
      <c r="T59" s="317"/>
      <c r="U59" s="318"/>
      <c r="V59" s="331" t="str">
        <f>VLOOKUP("step5_b",langTable,MATCH(langName,_lang!$A$1:$F$1,0),FALSE())</f>
        <v>Share this with friends, family, colleagues.  All donations go directly to PSC Support — JustGiving handles payment.  Even £1 helps.</v>
      </c>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c r="BP59" s="317"/>
      <c r="BQ59" s="317"/>
      <c r="BR59" s="317"/>
      <c r="BS59" s="317"/>
      <c r="BT59" s="317"/>
      <c r="BU59" s="317"/>
      <c r="BV59" s="317"/>
      <c r="BW59" s="317"/>
      <c r="BX59" s="317"/>
      <c r="BY59" s="317"/>
      <c r="BZ59" s="317"/>
      <c r="CA59" s="317"/>
      <c r="CB59" s="317"/>
      <c r="CC59" s="317"/>
      <c r="CD59" s="317"/>
      <c r="CE59" s="317"/>
      <c r="CF59" s="317"/>
      <c r="CG59" s="317"/>
      <c r="CH59" s="317"/>
      <c r="CI59" s="317"/>
      <c r="CJ59" s="317"/>
      <c r="CK59" s="317"/>
      <c r="CL59" s="317"/>
      <c r="CM59" s="317"/>
      <c r="CN59" s="317"/>
      <c r="CO59" s="317"/>
      <c r="CP59" s="317"/>
      <c r="CQ59" s="317"/>
      <c r="CR59" s="317"/>
      <c r="CS59" s="317"/>
      <c r="CT59" s="317"/>
      <c r="CU59" s="317"/>
      <c r="CV59" s="317"/>
      <c r="CW59" s="317"/>
      <c r="CX59" s="317"/>
      <c r="CY59" s="317"/>
      <c r="CZ59" s="318"/>
      <c r="DA59" s="93"/>
      <c r="DB59" s="93"/>
      <c r="DC59" s="93"/>
      <c r="DD59" s="93"/>
      <c r="DE59" s="93"/>
      <c r="DF59" s="93"/>
      <c r="DG59" s="93"/>
      <c r="DH59" s="93"/>
      <c r="DI59" s="93"/>
      <c r="DJ59" s="93"/>
      <c r="DK59" s="93"/>
      <c r="DL59" s="93"/>
      <c r="DM59" s="93"/>
      <c r="DN59" s="100"/>
      <c r="DO59" s="93"/>
      <c r="DP59" s="93">
        <v>1</v>
      </c>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row>
    <row r="60" spans="1:162" ht="7.5" customHeight="1">
      <c r="A60" s="93"/>
      <c r="B60" s="93"/>
      <c r="C60" s="97"/>
      <c r="D60" s="93"/>
      <c r="E60" s="93"/>
      <c r="F60" s="93"/>
      <c r="G60" s="93"/>
      <c r="H60" s="93"/>
      <c r="I60" s="93"/>
      <c r="J60" s="93"/>
      <c r="K60" s="93"/>
      <c r="L60" s="93"/>
      <c r="M60" s="93"/>
      <c r="N60" s="93"/>
      <c r="O60" s="93"/>
      <c r="P60" s="93"/>
      <c r="Q60" s="93"/>
      <c r="R60" s="319"/>
      <c r="S60" s="327"/>
      <c r="T60" s="327"/>
      <c r="U60" s="320"/>
      <c r="V60" s="319"/>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c r="AZ60" s="327"/>
      <c r="BA60" s="327"/>
      <c r="BB60" s="327"/>
      <c r="BC60" s="327"/>
      <c r="BD60" s="327"/>
      <c r="BE60" s="327"/>
      <c r="BF60" s="327"/>
      <c r="BG60" s="327"/>
      <c r="BH60" s="327"/>
      <c r="BI60" s="327"/>
      <c r="BJ60" s="327"/>
      <c r="BK60" s="327"/>
      <c r="BL60" s="327"/>
      <c r="BM60" s="327"/>
      <c r="BN60" s="327"/>
      <c r="BO60" s="327"/>
      <c r="BP60" s="327"/>
      <c r="BQ60" s="327"/>
      <c r="BR60" s="327"/>
      <c r="BS60" s="327"/>
      <c r="BT60" s="327"/>
      <c r="BU60" s="327"/>
      <c r="BV60" s="327"/>
      <c r="BW60" s="327"/>
      <c r="BX60" s="327"/>
      <c r="BY60" s="327"/>
      <c r="BZ60" s="327"/>
      <c r="CA60" s="327"/>
      <c r="CB60" s="327"/>
      <c r="CC60" s="327"/>
      <c r="CD60" s="327"/>
      <c r="CE60" s="327"/>
      <c r="CF60" s="327"/>
      <c r="CG60" s="327"/>
      <c r="CH60" s="327"/>
      <c r="CI60" s="327"/>
      <c r="CJ60" s="327"/>
      <c r="CK60" s="327"/>
      <c r="CL60" s="327"/>
      <c r="CM60" s="327"/>
      <c r="CN60" s="327"/>
      <c r="CO60" s="327"/>
      <c r="CP60" s="327"/>
      <c r="CQ60" s="327"/>
      <c r="CR60" s="327"/>
      <c r="CS60" s="327"/>
      <c r="CT60" s="327"/>
      <c r="CU60" s="327"/>
      <c r="CV60" s="327"/>
      <c r="CW60" s="327"/>
      <c r="CX60" s="327"/>
      <c r="CY60" s="327"/>
      <c r="CZ60" s="320"/>
      <c r="DA60" s="93"/>
      <c r="DB60" s="93"/>
      <c r="DC60" s="93"/>
      <c r="DD60" s="93"/>
      <c r="DE60" s="93"/>
      <c r="DF60" s="93"/>
      <c r="DG60" s="93"/>
      <c r="DH60" s="93"/>
      <c r="DI60" s="93"/>
      <c r="DJ60" s="93"/>
      <c r="DK60" s="93"/>
      <c r="DL60" s="93"/>
      <c r="DM60" s="93"/>
      <c r="DN60" s="100"/>
      <c r="DO60" s="93"/>
      <c r="DP60" s="93">
        <v>1</v>
      </c>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row>
    <row r="61" spans="1:162" ht="7.5" customHeight="1">
      <c r="A61" s="93"/>
      <c r="B61" s="93"/>
      <c r="C61" s="97"/>
      <c r="D61" s="93"/>
      <c r="E61" s="93"/>
      <c r="F61" s="93"/>
      <c r="G61" s="93"/>
      <c r="H61" s="93"/>
      <c r="I61" s="93"/>
      <c r="J61" s="93"/>
      <c r="K61" s="93"/>
      <c r="L61" s="93"/>
      <c r="M61" s="93"/>
      <c r="N61" s="93"/>
      <c r="O61" s="93"/>
      <c r="P61" s="93"/>
      <c r="Q61" s="93"/>
      <c r="R61" s="319"/>
      <c r="S61" s="327"/>
      <c r="T61" s="327"/>
      <c r="U61" s="320"/>
      <c r="V61" s="319"/>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327"/>
      <c r="BE61" s="327"/>
      <c r="BF61" s="327"/>
      <c r="BG61" s="327"/>
      <c r="BH61" s="327"/>
      <c r="BI61" s="327"/>
      <c r="BJ61" s="327"/>
      <c r="BK61" s="327"/>
      <c r="BL61" s="327"/>
      <c r="BM61" s="327"/>
      <c r="BN61" s="327"/>
      <c r="BO61" s="327"/>
      <c r="BP61" s="327"/>
      <c r="BQ61" s="327"/>
      <c r="BR61" s="327"/>
      <c r="BS61" s="327"/>
      <c r="BT61" s="327"/>
      <c r="BU61" s="327"/>
      <c r="BV61" s="327"/>
      <c r="BW61" s="327"/>
      <c r="BX61" s="327"/>
      <c r="BY61" s="327"/>
      <c r="BZ61" s="327"/>
      <c r="CA61" s="327"/>
      <c r="CB61" s="327"/>
      <c r="CC61" s="327"/>
      <c r="CD61" s="327"/>
      <c r="CE61" s="327"/>
      <c r="CF61" s="327"/>
      <c r="CG61" s="327"/>
      <c r="CH61" s="327"/>
      <c r="CI61" s="327"/>
      <c r="CJ61" s="327"/>
      <c r="CK61" s="327"/>
      <c r="CL61" s="327"/>
      <c r="CM61" s="327"/>
      <c r="CN61" s="327"/>
      <c r="CO61" s="327"/>
      <c r="CP61" s="327"/>
      <c r="CQ61" s="327"/>
      <c r="CR61" s="327"/>
      <c r="CS61" s="327"/>
      <c r="CT61" s="327"/>
      <c r="CU61" s="327"/>
      <c r="CV61" s="327"/>
      <c r="CW61" s="327"/>
      <c r="CX61" s="327"/>
      <c r="CY61" s="327"/>
      <c r="CZ61" s="320"/>
      <c r="DA61" s="93"/>
      <c r="DB61" s="93"/>
      <c r="DC61" s="93"/>
      <c r="DD61" s="93"/>
      <c r="DE61" s="93"/>
      <c r="DF61" s="93"/>
      <c r="DG61" s="93"/>
      <c r="DH61" s="93"/>
      <c r="DI61" s="93"/>
      <c r="DJ61" s="93"/>
      <c r="DK61" s="93"/>
      <c r="DL61" s="93"/>
      <c r="DM61" s="93"/>
      <c r="DN61" s="100"/>
      <c r="DO61" s="93"/>
      <c r="DP61" s="93">
        <v>1</v>
      </c>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row>
    <row r="62" spans="1:162" ht="7.5" customHeight="1">
      <c r="A62" s="93"/>
      <c r="B62" s="93"/>
      <c r="C62" s="97"/>
      <c r="D62" s="93"/>
      <c r="E62" s="93"/>
      <c r="F62" s="93"/>
      <c r="G62" s="93"/>
      <c r="H62" s="93"/>
      <c r="I62" s="93"/>
      <c r="J62" s="93"/>
      <c r="K62" s="93"/>
      <c r="L62" s="93"/>
      <c r="M62" s="93"/>
      <c r="N62" s="93"/>
      <c r="O62" s="93"/>
      <c r="P62" s="93"/>
      <c r="Q62" s="93"/>
      <c r="R62" s="328"/>
      <c r="S62" s="329"/>
      <c r="T62" s="329"/>
      <c r="U62" s="330"/>
      <c r="V62" s="319"/>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c r="CS62" s="327"/>
      <c r="CT62" s="327"/>
      <c r="CU62" s="327"/>
      <c r="CV62" s="327"/>
      <c r="CW62" s="327"/>
      <c r="CX62" s="327"/>
      <c r="CY62" s="327"/>
      <c r="CZ62" s="320"/>
      <c r="DA62" s="93"/>
      <c r="DB62" s="93"/>
      <c r="DC62" s="93"/>
      <c r="DD62" s="93"/>
      <c r="DE62" s="93"/>
      <c r="DF62" s="93"/>
      <c r="DG62" s="93"/>
      <c r="DH62" s="93"/>
      <c r="DI62" s="93"/>
      <c r="DJ62" s="93"/>
      <c r="DK62" s="93"/>
      <c r="DL62" s="93"/>
      <c r="DM62" s="93"/>
      <c r="DN62" s="100"/>
      <c r="DO62" s="93"/>
      <c r="DP62" s="93">
        <v>1</v>
      </c>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row>
    <row r="63" spans="1:162" ht="7.5" customHeight="1">
      <c r="A63" s="93"/>
      <c r="B63" s="93"/>
      <c r="C63" s="97"/>
      <c r="D63" s="93"/>
      <c r="E63" s="93"/>
      <c r="F63" s="93"/>
      <c r="G63" s="93"/>
      <c r="H63" s="93"/>
      <c r="I63" s="93"/>
      <c r="J63" s="93"/>
      <c r="K63" s="93"/>
      <c r="L63" s="93"/>
      <c r="M63" s="93"/>
      <c r="N63" s="93"/>
      <c r="O63" s="93"/>
      <c r="P63" s="93"/>
      <c r="Q63" s="93"/>
      <c r="R63" s="93"/>
      <c r="S63" s="93"/>
      <c r="T63" s="93"/>
      <c r="U63" s="93"/>
      <c r="V63" s="319"/>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7"/>
      <c r="BS63" s="327"/>
      <c r="BT63" s="327"/>
      <c r="BU63" s="327"/>
      <c r="BV63" s="327"/>
      <c r="BW63" s="327"/>
      <c r="BX63" s="327"/>
      <c r="BY63" s="327"/>
      <c r="BZ63" s="327"/>
      <c r="CA63" s="327"/>
      <c r="CB63" s="327"/>
      <c r="CC63" s="327"/>
      <c r="CD63" s="327"/>
      <c r="CE63" s="327"/>
      <c r="CF63" s="327"/>
      <c r="CG63" s="327"/>
      <c r="CH63" s="327"/>
      <c r="CI63" s="327"/>
      <c r="CJ63" s="327"/>
      <c r="CK63" s="327"/>
      <c r="CL63" s="327"/>
      <c r="CM63" s="327"/>
      <c r="CN63" s="327"/>
      <c r="CO63" s="327"/>
      <c r="CP63" s="327"/>
      <c r="CQ63" s="327"/>
      <c r="CR63" s="327"/>
      <c r="CS63" s="327"/>
      <c r="CT63" s="327"/>
      <c r="CU63" s="327"/>
      <c r="CV63" s="327"/>
      <c r="CW63" s="327"/>
      <c r="CX63" s="327"/>
      <c r="CY63" s="327"/>
      <c r="CZ63" s="320"/>
      <c r="DA63" s="93"/>
      <c r="DB63" s="93"/>
      <c r="DC63" s="93"/>
      <c r="DD63" s="93"/>
      <c r="DE63" s="93"/>
      <c r="DF63" s="93"/>
      <c r="DG63" s="93"/>
      <c r="DH63" s="93"/>
      <c r="DI63" s="93"/>
      <c r="DJ63" s="93"/>
      <c r="DK63" s="93"/>
      <c r="DL63" s="93"/>
      <c r="DM63" s="93"/>
      <c r="DN63" s="100"/>
      <c r="DO63" s="93"/>
      <c r="DP63" s="93">
        <v>1</v>
      </c>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row>
    <row r="64" spans="1:162" ht="7.5" customHeight="1">
      <c r="A64" s="93"/>
      <c r="B64" s="93"/>
      <c r="C64" s="97"/>
      <c r="D64" s="93"/>
      <c r="E64" s="93"/>
      <c r="F64" s="93"/>
      <c r="G64" s="93"/>
      <c r="H64" s="93"/>
      <c r="I64" s="93"/>
      <c r="J64" s="93"/>
      <c r="K64" s="93"/>
      <c r="L64" s="93"/>
      <c r="M64" s="93"/>
      <c r="N64" s="93"/>
      <c r="O64" s="93"/>
      <c r="P64" s="93"/>
      <c r="Q64" s="93"/>
      <c r="R64" s="93"/>
      <c r="S64" s="93"/>
      <c r="T64" s="93"/>
      <c r="U64" s="93"/>
      <c r="V64" s="319"/>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7"/>
      <c r="CP64" s="327"/>
      <c r="CQ64" s="327"/>
      <c r="CR64" s="327"/>
      <c r="CS64" s="327"/>
      <c r="CT64" s="327"/>
      <c r="CU64" s="327"/>
      <c r="CV64" s="327"/>
      <c r="CW64" s="327"/>
      <c r="CX64" s="327"/>
      <c r="CY64" s="327"/>
      <c r="CZ64" s="320"/>
      <c r="DA64" s="93"/>
      <c r="DB64" s="93"/>
      <c r="DC64" s="93"/>
      <c r="DD64" s="93"/>
      <c r="DE64" s="93"/>
      <c r="DF64" s="93"/>
      <c r="DG64" s="93"/>
      <c r="DH64" s="93"/>
      <c r="DI64" s="93"/>
      <c r="DJ64" s="93"/>
      <c r="DK64" s="93"/>
      <c r="DL64" s="93"/>
      <c r="DM64" s="93"/>
      <c r="DN64" s="100"/>
      <c r="DO64" s="93"/>
      <c r="DP64" s="93">
        <v>1</v>
      </c>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row>
    <row r="65" spans="1:162" ht="7.5" customHeight="1">
      <c r="A65" s="93"/>
      <c r="B65" s="93"/>
      <c r="C65" s="97"/>
      <c r="D65" s="93"/>
      <c r="E65" s="93"/>
      <c r="F65" s="93"/>
      <c r="G65" s="93"/>
      <c r="H65" s="93"/>
      <c r="I65" s="93"/>
      <c r="J65" s="93"/>
      <c r="K65" s="93"/>
      <c r="L65" s="93"/>
      <c r="M65" s="93"/>
      <c r="N65" s="93"/>
      <c r="O65" s="93"/>
      <c r="P65" s="93"/>
      <c r="Q65" s="93"/>
      <c r="R65" s="93"/>
      <c r="S65" s="93"/>
      <c r="T65" s="93"/>
      <c r="U65" s="93"/>
      <c r="V65" s="319"/>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0"/>
      <c r="DA65" s="93"/>
      <c r="DB65" s="93"/>
      <c r="DC65" s="93"/>
      <c r="DD65" s="93"/>
      <c r="DE65" s="93"/>
      <c r="DF65" s="93"/>
      <c r="DG65" s="93"/>
      <c r="DH65" s="93"/>
      <c r="DI65" s="93"/>
      <c r="DJ65" s="93"/>
      <c r="DK65" s="93"/>
      <c r="DL65" s="93"/>
      <c r="DM65" s="93"/>
      <c r="DN65" s="100"/>
      <c r="DO65" s="93"/>
      <c r="DP65" s="93">
        <v>1</v>
      </c>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row>
    <row r="66" spans="1:162" ht="7.5" customHeight="1">
      <c r="A66" s="93"/>
      <c r="B66" s="93"/>
      <c r="C66" s="97"/>
      <c r="D66" s="93"/>
      <c r="E66" s="93"/>
      <c r="F66" s="93"/>
      <c r="G66" s="93"/>
      <c r="H66" s="93"/>
      <c r="I66" s="93"/>
      <c r="J66" s="93"/>
      <c r="K66" s="93"/>
      <c r="L66" s="93"/>
      <c r="M66" s="93"/>
      <c r="N66" s="93"/>
      <c r="O66" s="93"/>
      <c r="P66" s="93"/>
      <c r="Q66" s="93"/>
      <c r="R66" s="93"/>
      <c r="S66" s="93"/>
      <c r="T66" s="93"/>
      <c r="U66" s="93"/>
      <c r="V66" s="328"/>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I66" s="329"/>
      <c r="CJ66" s="329"/>
      <c r="CK66" s="329"/>
      <c r="CL66" s="329"/>
      <c r="CM66" s="329"/>
      <c r="CN66" s="329"/>
      <c r="CO66" s="329"/>
      <c r="CP66" s="329"/>
      <c r="CQ66" s="329"/>
      <c r="CR66" s="329"/>
      <c r="CS66" s="329"/>
      <c r="CT66" s="329"/>
      <c r="CU66" s="329"/>
      <c r="CV66" s="329"/>
      <c r="CW66" s="329"/>
      <c r="CX66" s="329"/>
      <c r="CY66" s="329"/>
      <c r="CZ66" s="330"/>
      <c r="DA66" s="93"/>
      <c r="DB66" s="93"/>
      <c r="DC66" s="93"/>
      <c r="DD66" s="93"/>
      <c r="DE66" s="93"/>
      <c r="DF66" s="93"/>
      <c r="DG66" s="93"/>
      <c r="DH66" s="93"/>
      <c r="DI66" s="93"/>
      <c r="DJ66" s="93"/>
      <c r="DK66" s="93"/>
      <c r="DL66" s="93"/>
      <c r="DM66" s="93"/>
      <c r="DN66" s="100"/>
      <c r="DO66" s="93"/>
      <c r="DP66" s="93">
        <v>1</v>
      </c>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row>
    <row r="67" spans="1:162" ht="7.5" customHeight="1">
      <c r="A67" s="93"/>
      <c r="B67" s="93"/>
      <c r="C67" s="97"/>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100"/>
      <c r="DO67" s="93"/>
      <c r="DP67" s="93">
        <v>1</v>
      </c>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row>
    <row r="68" spans="1:162" ht="7.5" customHeight="1">
      <c r="A68" s="93"/>
      <c r="B68" s="93"/>
      <c r="C68" s="97"/>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100"/>
      <c r="DO68" s="93"/>
      <c r="DP68" s="93">
        <v>1</v>
      </c>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row>
    <row r="69" spans="1:162" ht="7.5" customHeight="1">
      <c r="A69" s="93"/>
      <c r="B69" s="93"/>
      <c r="C69" s="97"/>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100"/>
      <c r="DO69" s="93"/>
      <c r="DP69" s="93">
        <v>1</v>
      </c>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row>
    <row r="70" spans="1:162" ht="7.5" customHeight="1">
      <c r="A70" s="93"/>
      <c r="B70" s="93"/>
      <c r="C70" s="97"/>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100"/>
      <c r="DO70" s="93"/>
      <c r="DP70" s="93">
        <v>1</v>
      </c>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row>
    <row r="71" spans="1:162" ht="7.5" customHeight="1">
      <c r="A71" s="93"/>
      <c r="B71" s="93"/>
      <c r="C71" s="97"/>
      <c r="D71" s="93"/>
      <c r="E71" s="93"/>
      <c r="F71" s="93"/>
      <c r="G71" s="93"/>
      <c r="H71" s="93"/>
      <c r="I71" s="93"/>
      <c r="J71" s="93"/>
      <c r="K71" s="333" t="str">
        <f>VLOOKUP("charity_info",langTable,MATCH(langName,_lang!$A$1:$F$1,0),FALSE())</f>
        <v>©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v>
      </c>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327"/>
      <c r="BE71" s="327"/>
      <c r="BF71" s="327"/>
      <c r="BG71" s="327"/>
      <c r="BH71" s="327"/>
      <c r="BI71" s="327"/>
      <c r="BJ71" s="327"/>
      <c r="BK71" s="327"/>
      <c r="BL71" s="327"/>
      <c r="BM71" s="327"/>
      <c r="BN71" s="327"/>
      <c r="BO71" s="327"/>
      <c r="BP71" s="327"/>
      <c r="BQ71" s="327"/>
      <c r="BR71" s="327"/>
      <c r="BS71" s="327"/>
      <c r="BT71" s="327"/>
      <c r="BU71" s="327"/>
      <c r="BV71" s="327"/>
      <c r="BW71" s="327"/>
      <c r="BX71" s="327"/>
      <c r="BY71" s="327"/>
      <c r="BZ71" s="327"/>
      <c r="CA71" s="327"/>
      <c r="CB71" s="327"/>
      <c r="CC71" s="327"/>
      <c r="CD71" s="327"/>
      <c r="CE71" s="327"/>
      <c r="CF71" s="327"/>
      <c r="CG71" s="327"/>
      <c r="CH71" s="327"/>
      <c r="CI71" s="327"/>
      <c r="CJ71" s="327"/>
      <c r="CK71" s="327"/>
      <c r="CL71" s="327"/>
      <c r="CM71" s="327"/>
      <c r="CN71" s="327"/>
      <c r="CO71" s="327"/>
      <c r="CP71" s="327"/>
      <c r="CQ71" s="327"/>
      <c r="CR71" s="327"/>
      <c r="CS71" s="327"/>
      <c r="CT71" s="327"/>
      <c r="CU71" s="327"/>
      <c r="CV71" s="327"/>
      <c r="CW71" s="327"/>
      <c r="CX71" s="327"/>
      <c r="CY71" s="327"/>
      <c r="CZ71" s="327"/>
      <c r="DA71" s="327"/>
      <c r="DB71" s="327"/>
      <c r="DC71" s="327"/>
      <c r="DD71" s="327"/>
      <c r="DE71" s="327"/>
      <c r="DF71" s="327"/>
      <c r="DG71" s="327"/>
      <c r="DH71" s="327"/>
      <c r="DI71" s="327"/>
      <c r="DJ71" s="327"/>
      <c r="DK71" s="327"/>
      <c r="DL71" s="327"/>
      <c r="DM71" s="327"/>
      <c r="DN71" s="100"/>
      <c r="DO71" s="93"/>
      <c r="DP71" s="93">
        <v>1</v>
      </c>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row>
    <row r="72" spans="1:162" ht="7.5" customHeight="1">
      <c r="A72" s="93"/>
      <c r="B72" s="93"/>
      <c r="C72" s="97"/>
      <c r="D72" s="93"/>
      <c r="E72" s="93"/>
      <c r="F72" s="93"/>
      <c r="G72" s="93"/>
      <c r="H72" s="93"/>
      <c r="I72" s="93"/>
      <c r="J72" s="93"/>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7"/>
      <c r="CP72" s="327"/>
      <c r="CQ72" s="327"/>
      <c r="CR72" s="327"/>
      <c r="CS72" s="327"/>
      <c r="CT72" s="327"/>
      <c r="CU72" s="327"/>
      <c r="CV72" s="327"/>
      <c r="CW72" s="327"/>
      <c r="CX72" s="327"/>
      <c r="CY72" s="327"/>
      <c r="CZ72" s="327"/>
      <c r="DA72" s="327"/>
      <c r="DB72" s="327"/>
      <c r="DC72" s="327"/>
      <c r="DD72" s="327"/>
      <c r="DE72" s="327"/>
      <c r="DF72" s="327"/>
      <c r="DG72" s="327"/>
      <c r="DH72" s="327"/>
      <c r="DI72" s="327"/>
      <c r="DJ72" s="327"/>
      <c r="DK72" s="327"/>
      <c r="DL72" s="327"/>
      <c r="DM72" s="327"/>
      <c r="DN72" s="100"/>
      <c r="DO72" s="93"/>
      <c r="DP72" s="93">
        <v>1</v>
      </c>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row>
    <row r="73" spans="1:162" ht="7.5" customHeight="1">
      <c r="A73" s="93"/>
      <c r="B73" s="93"/>
      <c r="C73" s="97"/>
      <c r="D73" s="93"/>
      <c r="E73" s="93"/>
      <c r="F73" s="93"/>
      <c r="G73" s="93"/>
      <c r="H73" s="93"/>
      <c r="I73" s="93"/>
      <c r="J73" s="93"/>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327"/>
      <c r="DF73" s="327"/>
      <c r="DG73" s="327"/>
      <c r="DH73" s="327"/>
      <c r="DI73" s="327"/>
      <c r="DJ73" s="327"/>
      <c r="DK73" s="327"/>
      <c r="DL73" s="327"/>
      <c r="DM73" s="327"/>
      <c r="DN73" s="100"/>
      <c r="DO73" s="93"/>
      <c r="DP73" s="93">
        <v>1</v>
      </c>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row>
    <row r="74" spans="1:162" ht="7.5" customHeight="1">
      <c r="A74" s="93"/>
      <c r="B74" s="93"/>
      <c r="C74" s="97"/>
      <c r="D74" s="93"/>
      <c r="E74" s="93"/>
      <c r="F74" s="93"/>
      <c r="G74" s="93"/>
      <c r="H74" s="93"/>
      <c r="I74" s="93"/>
      <c r="J74" s="93"/>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7"/>
      <c r="BQ74" s="327"/>
      <c r="BR74" s="327"/>
      <c r="BS74" s="327"/>
      <c r="BT74" s="327"/>
      <c r="BU74" s="327"/>
      <c r="BV74" s="327"/>
      <c r="BW74" s="327"/>
      <c r="BX74" s="327"/>
      <c r="BY74" s="327"/>
      <c r="BZ74" s="327"/>
      <c r="CA74" s="327"/>
      <c r="CB74" s="327"/>
      <c r="CC74" s="327"/>
      <c r="CD74" s="327"/>
      <c r="CE74" s="327"/>
      <c r="CF74" s="327"/>
      <c r="CG74" s="327"/>
      <c r="CH74" s="327"/>
      <c r="CI74" s="327"/>
      <c r="CJ74" s="327"/>
      <c r="CK74" s="327"/>
      <c r="CL74" s="327"/>
      <c r="CM74" s="327"/>
      <c r="CN74" s="327"/>
      <c r="CO74" s="327"/>
      <c r="CP74" s="327"/>
      <c r="CQ74" s="327"/>
      <c r="CR74" s="327"/>
      <c r="CS74" s="327"/>
      <c r="CT74" s="327"/>
      <c r="CU74" s="327"/>
      <c r="CV74" s="327"/>
      <c r="CW74" s="327"/>
      <c r="CX74" s="327"/>
      <c r="CY74" s="327"/>
      <c r="CZ74" s="327"/>
      <c r="DA74" s="327"/>
      <c r="DB74" s="327"/>
      <c r="DC74" s="327"/>
      <c r="DD74" s="327"/>
      <c r="DE74" s="327"/>
      <c r="DF74" s="327"/>
      <c r="DG74" s="327"/>
      <c r="DH74" s="327"/>
      <c r="DI74" s="327"/>
      <c r="DJ74" s="327"/>
      <c r="DK74" s="327"/>
      <c r="DL74" s="327"/>
      <c r="DM74" s="327"/>
      <c r="DN74" s="100"/>
      <c r="DO74" s="93"/>
      <c r="DP74" s="93">
        <v>1</v>
      </c>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row>
    <row r="75" spans="1:162" ht="7.5" customHeight="1">
      <c r="A75" s="93"/>
      <c r="B75" s="93"/>
      <c r="C75" s="97"/>
      <c r="D75" s="93"/>
      <c r="E75" s="93"/>
      <c r="F75" s="93"/>
      <c r="G75" s="93"/>
      <c r="H75" s="93"/>
      <c r="I75" s="93"/>
      <c r="J75" s="93"/>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c r="CA75" s="327"/>
      <c r="CB75" s="327"/>
      <c r="CC75" s="327"/>
      <c r="CD75" s="327"/>
      <c r="CE75" s="327"/>
      <c r="CF75" s="327"/>
      <c r="CG75" s="327"/>
      <c r="CH75" s="327"/>
      <c r="CI75" s="327"/>
      <c r="CJ75" s="327"/>
      <c r="CK75" s="327"/>
      <c r="CL75" s="327"/>
      <c r="CM75" s="327"/>
      <c r="CN75" s="327"/>
      <c r="CO75" s="327"/>
      <c r="CP75" s="327"/>
      <c r="CQ75" s="327"/>
      <c r="CR75" s="327"/>
      <c r="CS75" s="327"/>
      <c r="CT75" s="327"/>
      <c r="CU75" s="327"/>
      <c r="CV75" s="327"/>
      <c r="CW75" s="327"/>
      <c r="CX75" s="327"/>
      <c r="CY75" s="327"/>
      <c r="CZ75" s="327"/>
      <c r="DA75" s="327"/>
      <c r="DB75" s="327"/>
      <c r="DC75" s="327"/>
      <c r="DD75" s="327"/>
      <c r="DE75" s="327"/>
      <c r="DF75" s="327"/>
      <c r="DG75" s="327"/>
      <c r="DH75" s="327"/>
      <c r="DI75" s="327"/>
      <c r="DJ75" s="327"/>
      <c r="DK75" s="327"/>
      <c r="DL75" s="327"/>
      <c r="DM75" s="327"/>
      <c r="DN75" s="100"/>
      <c r="DO75" s="93"/>
      <c r="DP75" s="93">
        <v>1</v>
      </c>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row>
    <row r="76" spans="1:162" ht="7.5" customHeight="1">
      <c r="A76" s="93"/>
      <c r="B76" s="93"/>
      <c r="C76" s="97"/>
      <c r="D76" s="93"/>
      <c r="E76" s="93"/>
      <c r="F76" s="93"/>
      <c r="G76" s="93"/>
      <c r="H76" s="93"/>
      <c r="I76" s="93"/>
      <c r="J76" s="93"/>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327"/>
      <c r="BQ76" s="327"/>
      <c r="BR76" s="327"/>
      <c r="BS76" s="327"/>
      <c r="BT76" s="327"/>
      <c r="BU76" s="327"/>
      <c r="BV76" s="327"/>
      <c r="BW76" s="327"/>
      <c r="BX76" s="327"/>
      <c r="BY76" s="327"/>
      <c r="BZ76" s="327"/>
      <c r="CA76" s="327"/>
      <c r="CB76" s="327"/>
      <c r="CC76" s="327"/>
      <c r="CD76" s="327"/>
      <c r="CE76" s="327"/>
      <c r="CF76" s="327"/>
      <c r="CG76" s="327"/>
      <c r="CH76" s="327"/>
      <c r="CI76" s="327"/>
      <c r="CJ76" s="327"/>
      <c r="CK76" s="327"/>
      <c r="CL76" s="327"/>
      <c r="CM76" s="327"/>
      <c r="CN76" s="327"/>
      <c r="CO76" s="327"/>
      <c r="CP76" s="327"/>
      <c r="CQ76" s="327"/>
      <c r="CR76" s="327"/>
      <c r="CS76" s="327"/>
      <c r="CT76" s="327"/>
      <c r="CU76" s="327"/>
      <c r="CV76" s="327"/>
      <c r="CW76" s="327"/>
      <c r="CX76" s="327"/>
      <c r="CY76" s="327"/>
      <c r="CZ76" s="327"/>
      <c r="DA76" s="327"/>
      <c r="DB76" s="327"/>
      <c r="DC76" s="327"/>
      <c r="DD76" s="327"/>
      <c r="DE76" s="327"/>
      <c r="DF76" s="327"/>
      <c r="DG76" s="327"/>
      <c r="DH76" s="327"/>
      <c r="DI76" s="327"/>
      <c r="DJ76" s="327"/>
      <c r="DK76" s="327"/>
      <c r="DL76" s="327"/>
      <c r="DM76" s="327"/>
      <c r="DN76" s="100"/>
      <c r="DO76" s="93"/>
      <c r="DP76" s="93">
        <v>1</v>
      </c>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row>
    <row r="77" spans="1:162" ht="7.5" customHeight="1">
      <c r="A77" s="93"/>
      <c r="B77" s="93"/>
      <c r="C77" s="97"/>
      <c r="D77" s="93"/>
      <c r="E77" s="93"/>
      <c r="F77" s="93"/>
      <c r="G77" s="93"/>
      <c r="H77" s="93"/>
      <c r="I77" s="93"/>
      <c r="J77" s="93"/>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327"/>
      <c r="BQ77" s="327"/>
      <c r="BR77" s="327"/>
      <c r="BS77" s="327"/>
      <c r="BT77" s="327"/>
      <c r="BU77" s="327"/>
      <c r="BV77" s="327"/>
      <c r="BW77" s="327"/>
      <c r="BX77" s="327"/>
      <c r="BY77" s="327"/>
      <c r="BZ77" s="327"/>
      <c r="CA77" s="327"/>
      <c r="CB77" s="327"/>
      <c r="CC77" s="327"/>
      <c r="CD77" s="327"/>
      <c r="CE77" s="327"/>
      <c r="CF77" s="327"/>
      <c r="CG77" s="327"/>
      <c r="CH77" s="327"/>
      <c r="CI77" s="327"/>
      <c r="CJ77" s="327"/>
      <c r="CK77" s="327"/>
      <c r="CL77" s="327"/>
      <c r="CM77" s="327"/>
      <c r="CN77" s="327"/>
      <c r="CO77" s="327"/>
      <c r="CP77" s="327"/>
      <c r="CQ77" s="327"/>
      <c r="CR77" s="327"/>
      <c r="CS77" s="327"/>
      <c r="CT77" s="327"/>
      <c r="CU77" s="327"/>
      <c r="CV77" s="327"/>
      <c r="CW77" s="327"/>
      <c r="CX77" s="327"/>
      <c r="CY77" s="327"/>
      <c r="CZ77" s="327"/>
      <c r="DA77" s="327"/>
      <c r="DB77" s="327"/>
      <c r="DC77" s="327"/>
      <c r="DD77" s="327"/>
      <c r="DE77" s="327"/>
      <c r="DF77" s="327"/>
      <c r="DG77" s="327"/>
      <c r="DH77" s="327"/>
      <c r="DI77" s="327"/>
      <c r="DJ77" s="327"/>
      <c r="DK77" s="327"/>
      <c r="DL77" s="327"/>
      <c r="DM77" s="327"/>
      <c r="DN77" s="100"/>
      <c r="DO77" s="93"/>
      <c r="DP77" s="93">
        <v>1</v>
      </c>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row>
    <row r="78" spans="1:162" ht="7.5" customHeight="1">
      <c r="A78" s="93"/>
      <c r="B78" s="93"/>
      <c r="C78" s="97"/>
      <c r="D78" s="93"/>
      <c r="E78" s="93"/>
      <c r="F78" s="93"/>
      <c r="G78" s="93"/>
      <c r="H78" s="93"/>
      <c r="I78" s="93"/>
      <c r="J78" s="93"/>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327"/>
      <c r="BE78" s="327"/>
      <c r="BF78" s="327"/>
      <c r="BG78" s="327"/>
      <c r="BH78" s="327"/>
      <c r="BI78" s="327"/>
      <c r="BJ78" s="327"/>
      <c r="BK78" s="327"/>
      <c r="BL78" s="327"/>
      <c r="BM78" s="327"/>
      <c r="BN78" s="327"/>
      <c r="BO78" s="327"/>
      <c r="BP78" s="327"/>
      <c r="BQ78" s="327"/>
      <c r="BR78" s="327"/>
      <c r="BS78" s="327"/>
      <c r="BT78" s="327"/>
      <c r="BU78" s="327"/>
      <c r="BV78" s="327"/>
      <c r="BW78" s="327"/>
      <c r="BX78" s="327"/>
      <c r="BY78" s="327"/>
      <c r="BZ78" s="327"/>
      <c r="CA78" s="327"/>
      <c r="CB78" s="327"/>
      <c r="CC78" s="327"/>
      <c r="CD78" s="327"/>
      <c r="CE78" s="327"/>
      <c r="CF78" s="327"/>
      <c r="CG78" s="327"/>
      <c r="CH78" s="327"/>
      <c r="CI78" s="327"/>
      <c r="CJ78" s="327"/>
      <c r="CK78" s="327"/>
      <c r="CL78" s="327"/>
      <c r="CM78" s="327"/>
      <c r="CN78" s="327"/>
      <c r="CO78" s="327"/>
      <c r="CP78" s="327"/>
      <c r="CQ78" s="327"/>
      <c r="CR78" s="327"/>
      <c r="CS78" s="327"/>
      <c r="CT78" s="327"/>
      <c r="CU78" s="327"/>
      <c r="CV78" s="327"/>
      <c r="CW78" s="327"/>
      <c r="CX78" s="327"/>
      <c r="CY78" s="327"/>
      <c r="CZ78" s="327"/>
      <c r="DA78" s="327"/>
      <c r="DB78" s="327"/>
      <c r="DC78" s="327"/>
      <c r="DD78" s="327"/>
      <c r="DE78" s="327"/>
      <c r="DF78" s="327"/>
      <c r="DG78" s="327"/>
      <c r="DH78" s="327"/>
      <c r="DI78" s="327"/>
      <c r="DJ78" s="327"/>
      <c r="DK78" s="327"/>
      <c r="DL78" s="327"/>
      <c r="DM78" s="327"/>
      <c r="DN78" s="100"/>
      <c r="DO78" s="93"/>
      <c r="DP78" s="93">
        <v>1</v>
      </c>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row>
    <row r="79" spans="1:162" ht="7.5" customHeight="1">
      <c r="A79" s="93"/>
      <c r="B79" s="93"/>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3"/>
      <c r="DP79" s="93">
        <v>1</v>
      </c>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row>
    <row r="80" spans="1:162" ht="7.5" customHeight="1">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row>
    <row r="81" spans="1:162" ht="7.5" customHeight="1">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row>
    <row r="82" spans="1:162" ht="7.5" customHeight="1">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row>
    <row r="83" spans="1:162" ht="7.5" customHeight="1">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row>
    <row r="84" spans="1:162" ht="7.5" customHeight="1">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row>
    <row r="85" spans="1:162" ht="7.5" customHeight="1">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row>
    <row r="86" spans="1:162" ht="7.5" customHeight="1">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row>
    <row r="87" spans="1:162" ht="7.5" customHeight="1">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row>
    <row r="88" spans="1:162" ht="7.5" customHeight="1">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row>
    <row r="89" spans="1:162" ht="7.5" customHeight="1">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row>
    <row r="90" spans="1:162" ht="7.5" customHeight="1">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row>
    <row r="91" spans="1:162" ht="7.5" customHeight="1">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row>
    <row r="92" spans="1:162" ht="7.5" customHeight="1">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row>
    <row r="93" spans="1:162" ht="7.5" customHeight="1">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row>
    <row r="94" spans="1:162" ht="7.5" customHeight="1">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row>
    <row r="95" spans="1:162" ht="7.5" customHeight="1">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row>
    <row r="96" spans="1:162" ht="7.5" customHeight="1">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row>
    <row r="97" spans="1:162" ht="7.5" customHeight="1">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row>
    <row r="98" spans="1:162" ht="7.5" customHeight="1">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row>
    <row r="99" spans="1:162" ht="7.5" customHeight="1">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row>
    <row r="100" spans="1:162" ht="7.5" customHeight="1">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row>
    <row r="101" spans="1:162" ht="7.5" customHeight="1">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row>
    <row r="102" spans="1:162" ht="7.5" customHeight="1">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row>
    <row r="103" spans="1:162" ht="7.5" customHeight="1">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row>
    <row r="104" spans="1:162" ht="7.5" customHeight="1">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row>
    <row r="105" spans="1:162" ht="7.5" customHeight="1">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row>
    <row r="106" spans="1:162" ht="7.5" customHeight="1">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row>
    <row r="107" spans="1:162" ht="7.5" customHeight="1">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row>
    <row r="108" spans="1:162" ht="7.5" customHeight="1">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row>
    <row r="109" spans="1:162" ht="7.5" customHeight="1">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row>
    <row r="110" spans="1:162" ht="7.5" customHeight="1">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row>
    <row r="111" spans="1:162" ht="7.5" customHeight="1">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row>
    <row r="112" spans="1:162" ht="7.5" customHeight="1">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row>
    <row r="113" spans="1:162" ht="7.5" customHeight="1">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row>
    <row r="114" spans="1:162" ht="7.5" customHeight="1">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row>
    <row r="115" spans="1:162" ht="7.5" customHeight="1">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row>
    <row r="116" spans="1:162" ht="7.5" customHeight="1">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row>
    <row r="117" spans="1:162" ht="7.5" customHeight="1">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row>
    <row r="118" spans="1:162" ht="7.5" customHeight="1">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row>
    <row r="119" spans="1:162" ht="7.5" customHeight="1">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row>
    <row r="120" spans="1:162" ht="7.5" customHeight="1">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row>
    <row r="121" spans="1:162" ht="7.5" customHeight="1">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row>
    <row r="122" spans="1:162" ht="7.5" customHeight="1">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row>
    <row r="123" spans="1:162" ht="7.5" customHeight="1">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row>
    <row r="124" spans="1:162" ht="7.5" customHeight="1">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row>
    <row r="125" spans="1:162" ht="7.5" customHeight="1">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row>
    <row r="126" spans="1:162" ht="7.5" customHeight="1">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row>
    <row r="127" spans="1:162" ht="7.5" customHeight="1">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row>
    <row r="128" spans="1:162" ht="7.5" customHeight="1">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row>
    <row r="129" spans="1:162" ht="7.5" customHeight="1">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row>
    <row r="130" spans="1:162" ht="7.5" customHeight="1">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row>
    <row r="131" spans="1:162" ht="7.5" customHeight="1">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row>
    <row r="132" spans="1:162" ht="7.5" customHeight="1">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row>
    <row r="133" spans="1:162" ht="7.5" customHeight="1">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row>
    <row r="134" spans="1:162" ht="7.5" customHeight="1">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row>
    <row r="135" spans="1:162" ht="7.5" customHeight="1">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row>
    <row r="136" spans="1:162" ht="7.5" customHeight="1">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row>
    <row r="137" spans="1:162" ht="7.5" customHeight="1">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row>
    <row r="138" spans="1:162" ht="7.5" customHeight="1">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row>
    <row r="139" spans="1:162" ht="7.5" customHeight="1">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row>
    <row r="140" spans="1:162" ht="7.5" customHeight="1">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row>
    <row r="141" spans="1:162" ht="7.5" customHeight="1">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row>
    <row r="142" spans="1:162" ht="7.5" customHeight="1">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row>
    <row r="143" spans="1:162" ht="7.5" customHeight="1">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row>
    <row r="144" spans="1:162" ht="7.5" customHeight="1">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row>
    <row r="145" spans="1:162" ht="7.5" customHeight="1">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row>
    <row r="146" spans="1:162" ht="7.5" customHeight="1">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row>
    <row r="147" spans="1:162" ht="7.5" customHeight="1">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row>
    <row r="148" spans="1:162" ht="7.5" customHeight="1">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row>
    <row r="149" spans="1:162" ht="7.5" customHeigh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row>
    <row r="150" spans="1:162" ht="7.5" customHeight="1">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row>
    <row r="151" spans="1:162" ht="7.5" customHeight="1">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row>
    <row r="152" spans="1:162" ht="7.5" customHeight="1">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row>
    <row r="153" spans="1:162" ht="15.75" customHeight="1">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row>
    <row r="154" spans="1:162" ht="7.5" customHeight="1">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row>
    <row r="155" spans="1:162" ht="7.5" customHeight="1">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row>
    <row r="156" spans="1:162" ht="7.5" customHeight="1">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row>
    <row r="157" spans="1:162" ht="7.5" customHeight="1">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row>
    <row r="158" spans="1:162" ht="7.5" customHeight="1">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row>
    <row r="159" spans="1:162" ht="7.5" customHeight="1">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row>
    <row r="160" spans="1:162" ht="7.5" customHeight="1">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row>
    <row r="161" spans="1:162" ht="7.5" customHeight="1">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row>
    <row r="162" spans="1:162" ht="7.5" customHeight="1">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row>
    <row r="163" spans="1:162" ht="7.5" customHeight="1">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row>
    <row r="164" spans="1:162" ht="7.5" customHeight="1">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row>
    <row r="165" spans="1:162" ht="7.5" customHeight="1">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row>
    <row r="166" spans="1:162" ht="7.5" customHeight="1">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row>
    <row r="167" spans="1:162" ht="7.5" customHeight="1">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v>1</v>
      </c>
      <c r="FD167" s="93"/>
      <c r="FE167" s="93"/>
      <c r="FF167" s="93"/>
    </row>
    <row r="168" spans="1:162" ht="7.5" customHeight="1">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row>
    <row r="169" spans="1:162" ht="7.5" customHeight="1">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row>
    <row r="170" spans="1:162" ht="7.5" customHeight="1">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row>
    <row r="171" spans="1:162" ht="7.5" customHeight="1">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row>
    <row r="172" spans="1:162" ht="7.5" customHeight="1">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row>
    <row r="173" spans="1:162" ht="7.5" customHeight="1">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row>
    <row r="174" spans="1:162" ht="7.5" customHeight="1">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row>
    <row r="175" spans="1:162" ht="7.5" customHeight="1">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row>
    <row r="176" spans="1:162" ht="7.5" customHeight="1">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row>
    <row r="177" spans="1:162" ht="7.5" customHeight="1">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row>
    <row r="178" spans="1:162" ht="7.5" customHeight="1">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row>
    <row r="179" spans="1:162" ht="7.5" customHeight="1">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row>
    <row r="180" spans="1:162" ht="7.5" customHeight="1">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row>
    <row r="181" spans="1:162" ht="7.5" customHeight="1">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row>
    <row r="182" spans="1:162" ht="7.5" customHeight="1">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row>
    <row r="183" spans="1:162" ht="7.5" customHeight="1">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row>
    <row r="184" spans="1:162" ht="7.5" customHeight="1">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row>
    <row r="185" spans="1:162" ht="7.5" customHeight="1">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row>
    <row r="186" spans="1:162" ht="7.5" customHeight="1">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row>
    <row r="187" spans="1:162" ht="7.5" customHeight="1">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row>
    <row r="188" spans="1:162" ht="7.5" customHeight="1">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row>
    <row r="189" spans="1:162" ht="7.5" customHeight="1">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row>
    <row r="190" spans="1:162" ht="7.5" customHeight="1">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row>
    <row r="191" spans="1:162" ht="7.5" customHeight="1">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row>
    <row r="192" spans="1:162" ht="7.5" customHeight="1">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row>
    <row r="193" spans="1:162" ht="7.5" customHeight="1">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row>
    <row r="194" spans="1:162" ht="7.5" customHeight="1">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row>
    <row r="195" spans="1:162" ht="7.5" customHeight="1">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row>
    <row r="196" spans="1:162" ht="7.5" customHeight="1">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row>
    <row r="197" spans="1:162" ht="7.5" customHeight="1">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row>
    <row r="198" spans="1:162" ht="7.5" customHeight="1">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row>
    <row r="199" spans="1:162" ht="7.5" customHeight="1">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row>
    <row r="200" spans="1:162" ht="7.5" customHeight="1">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row>
    <row r="201" spans="1:162" ht="7.5" customHeight="1">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row>
    <row r="202" spans="1:162" ht="7.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row>
    <row r="203" spans="1:162" ht="7.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row>
    <row r="204" spans="1:162" ht="15.7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row>
    <row r="205" spans="1:162" ht="15.7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row>
    <row r="206" spans="1:162" ht="15.7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row>
    <row r="207" spans="1:162" ht="15.7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row>
    <row r="208" spans="1:162" ht="15.7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row>
    <row r="209" spans="1:162" ht="15.7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row>
    <row r="210" spans="1:162" ht="15.7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row>
    <row r="211" spans="1:162" ht="15.7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row>
    <row r="212" spans="1:162" ht="15.7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row>
    <row r="213" spans="1:162" ht="15.7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row>
    <row r="214" spans="1:162" ht="15.7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row>
    <row r="215" spans="1:162" ht="15.7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row>
    <row r="216" spans="1:162" ht="15.7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row>
    <row r="217" spans="1:162" ht="15.7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row>
    <row r="218" spans="1:162" ht="15.7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row>
    <row r="219" spans="1:162" ht="15.7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row>
    <row r="220" spans="1:162" ht="15.7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row>
    <row r="221" spans="1:162" ht="15.7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row>
    <row r="222" spans="1:162" ht="15.7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row>
    <row r="223" spans="1:162" ht="15.7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row>
    <row r="224" spans="1:162" ht="15.7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row>
    <row r="225" spans="1:162" ht="15.7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row>
    <row r="226" spans="1:162" ht="15.7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row>
    <row r="227" spans="1:162" ht="15.7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row>
    <row r="228" spans="1:162" ht="15.7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row>
    <row r="229" spans="1:162" ht="15.7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row>
    <row r="230" spans="1:162" ht="15.75" customHeight="1">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row>
    <row r="231" spans="1:162" ht="15.75" customHeight="1">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row>
    <row r="232" spans="1:162" ht="15.75" customHeight="1">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row>
    <row r="233" spans="1:162" ht="15.75" customHeight="1">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row>
    <row r="234" spans="1:162" ht="15.75" customHeight="1">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row>
    <row r="235" spans="1:162" ht="15.75" customHeight="1">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row>
    <row r="236" spans="1:162" ht="15.7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row>
    <row r="237" spans="1:162" ht="15.75" customHeight="1">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row>
    <row r="238" spans="1:162" ht="15.75" customHeight="1">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row>
    <row r="239" spans="1:162" ht="15.75" customHeight="1">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row>
    <row r="240" spans="1:162" ht="15.75" customHeight="1">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row>
    <row r="241" spans="1:162" ht="15.75" customHeight="1">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row>
    <row r="242" spans="1:162" ht="15.75" customHeight="1">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row>
    <row r="243" spans="1:162" ht="15.75" customHeight="1">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row>
    <row r="244" spans="1:162" ht="15.75" customHeight="1">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row>
    <row r="245" spans="1:162" ht="15.75" customHeight="1">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row>
    <row r="246" spans="1:162" ht="15.75" customHeight="1">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row>
    <row r="247" spans="1:162" ht="15.75"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row>
    <row r="248" spans="1:162" ht="15.7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row>
    <row r="249" spans="1:162" ht="15.75" customHeight="1">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row>
    <row r="250" spans="1:162" ht="15.75" customHeight="1">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row>
    <row r="251" spans="1:162" ht="15.75"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row>
    <row r="252" spans="1:162" ht="15.75" customHeight="1">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row>
    <row r="253" spans="1:162" ht="15.75" customHeight="1">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row>
    <row r="254" spans="1:162" ht="15.75" customHeight="1">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row>
    <row r="255" spans="1:162" ht="15.75" customHeight="1">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row>
    <row r="256" spans="1:162" ht="15.75" customHeight="1">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row>
    <row r="257" spans="1:162" ht="15.75"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row>
    <row r="258" spans="1:162" ht="15.75" customHeight="1">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row>
    <row r="259" spans="1:162" ht="15.75" customHeight="1">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row>
    <row r="260" spans="1:162" ht="15.7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row>
    <row r="261" spans="1:162" ht="15.75" customHeight="1">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row>
    <row r="262" spans="1:162" ht="15.75" customHeight="1">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row>
    <row r="263" spans="1:162" ht="15.75" customHeight="1">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row>
    <row r="264" spans="1:162" ht="15.75" customHeight="1">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row>
    <row r="265" spans="1:162" ht="15.75" customHeight="1">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row>
    <row r="266" spans="1:162" ht="15.75" customHeight="1">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row>
    <row r="267" spans="1:162" ht="15.75" customHeight="1">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row>
    <row r="268" spans="1:162" ht="15.75" customHeight="1">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row>
    <row r="269" spans="1:162" ht="15.75" customHeight="1">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row>
    <row r="270" spans="1:162" ht="15.75" customHeight="1">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row>
    <row r="271" spans="1:162" ht="15.75" customHeight="1">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row>
    <row r="272" spans="1:162" ht="15.75" customHeight="1">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row>
    <row r="273" spans="1:162" ht="15.75" customHeight="1">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row>
    <row r="274" spans="1:162" ht="15.75" customHeight="1">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row>
    <row r="275" spans="1:162" ht="15.75" customHeight="1">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row>
    <row r="276" spans="1:162" ht="15.75" customHeight="1">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row>
    <row r="277" spans="1:162" ht="15.75"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row>
    <row r="278" spans="1:162" ht="15.75" customHeight="1">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row>
    <row r="279" spans="1:162" ht="15.75" customHeight="1">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row>
    <row r="280" spans="1:162" ht="15.75" customHeight="1">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row>
    <row r="281" spans="1:162" ht="15.7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row>
    <row r="282" spans="1:162" ht="15.75"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row>
    <row r="283" spans="1:162" ht="15.75" customHeight="1">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row>
    <row r="284" spans="1:162" ht="15.75" customHeight="1">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row>
    <row r="285" spans="1:162" ht="15.75" customHeight="1">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row>
    <row r="286" spans="1:162" ht="15.75" customHeight="1">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row>
    <row r="287" spans="1:162" ht="15.75" customHeight="1">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row>
    <row r="288" spans="1:162" ht="15.75" customHeight="1">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row>
    <row r="289" spans="1:162" ht="15.75" customHeight="1">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row>
    <row r="290" spans="1:162" ht="15.75" customHeight="1">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row>
    <row r="291" spans="1:162" ht="15.75" customHeight="1">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row>
    <row r="292" spans="1:162" ht="15.75"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row>
    <row r="293" spans="1:162" ht="15.7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row>
    <row r="294" spans="1:162" ht="15.75" customHeight="1">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row>
    <row r="295" spans="1:162" ht="15.75" customHeight="1">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row>
    <row r="296" spans="1:162" ht="15.75" customHeight="1">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row>
    <row r="297" spans="1:162" ht="15.75" customHeight="1">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row>
    <row r="298" spans="1:162" ht="15.75" customHeight="1">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row>
    <row r="299" spans="1:162" ht="15.75" customHeight="1">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row>
    <row r="300" spans="1:162" ht="15.75" customHeight="1">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row>
    <row r="301" spans="1:162" ht="15.75" customHeight="1">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row>
    <row r="302" spans="1:162" ht="15.75"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row>
    <row r="303" spans="1:162" ht="15.75" customHeight="1">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row>
    <row r="304" spans="1:162" ht="15.75" customHeight="1">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row>
    <row r="305" spans="1:162" ht="15.7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row>
    <row r="306" spans="1:162" ht="15.75" customHeight="1">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row>
    <row r="307" spans="1:162" ht="15.75" customHeight="1">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row>
    <row r="308" spans="1:162" ht="15.75" customHeight="1">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row>
    <row r="309" spans="1:162" ht="15.75" customHeight="1">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row>
    <row r="310" spans="1:162" ht="15.75" customHeight="1">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row>
    <row r="311" spans="1:162" ht="15.75" customHeight="1">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row>
    <row r="312" spans="1:162" ht="15.75" customHeight="1">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row>
    <row r="313" spans="1:162" ht="15.75" customHeight="1">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row>
    <row r="314" spans="1:162" ht="15.75" customHeight="1">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row>
    <row r="315" spans="1:162" ht="15.75" customHeight="1">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row>
    <row r="316" spans="1:162" ht="15.75" customHeight="1">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row>
    <row r="317" spans="1:162" ht="15.75"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row>
    <row r="318" spans="1:162" ht="15.75" customHeight="1">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row>
    <row r="319" spans="1:162" ht="15.75" customHeight="1">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row>
    <row r="320" spans="1:162" ht="15.75" customHeight="1">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row>
    <row r="321" spans="1:162" ht="15.75" customHeight="1">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row>
    <row r="322" spans="1:162" ht="15.75" customHeight="1">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row>
    <row r="323" spans="1:162" ht="15.75" customHeight="1">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row>
    <row r="324" spans="1:162" ht="15.75" customHeight="1">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row>
    <row r="325" spans="1:162" ht="15.75" customHeight="1">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row>
    <row r="326" spans="1:162" ht="15.7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row>
    <row r="327" spans="1:162" ht="15.75" customHeight="1">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row>
    <row r="328" spans="1:162" ht="15.75" customHeight="1">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row>
    <row r="329" spans="1:162" ht="15.75" customHeight="1">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row>
    <row r="330" spans="1:162" ht="15.75" customHeight="1">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row>
    <row r="331" spans="1:162" ht="15.75" customHeight="1">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row>
    <row r="332" spans="1:162" ht="15.75" customHeight="1">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row>
    <row r="333" spans="1:162" ht="15.75" customHeight="1">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row>
    <row r="334" spans="1:162" ht="15.75" customHeight="1">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row>
    <row r="335" spans="1:162" ht="15.75" customHeight="1">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row>
    <row r="336" spans="1:162" ht="15.75" customHeight="1">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row>
    <row r="337" spans="1:162" ht="15.75" customHeight="1">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row>
    <row r="338" spans="1:162" ht="15.7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row>
    <row r="339" spans="1:162" ht="15.75" customHeight="1">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row>
    <row r="340" spans="1:162" ht="15.75"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row>
    <row r="341" spans="1:162" ht="15.75"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row>
    <row r="342" spans="1:162" ht="15.75"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row>
    <row r="343" spans="1:162" ht="15.75"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row>
    <row r="344" spans="1:162" ht="15.75"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row>
    <row r="345" spans="1:162" ht="15.75"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row>
    <row r="346" spans="1:162" ht="15.75"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row>
    <row r="347" spans="1:162" ht="15.75"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row>
    <row r="348" spans="1:162" ht="15.75"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row>
    <row r="349" spans="1:162" ht="15.75"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row>
    <row r="350" spans="1:162" ht="15.7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row>
    <row r="351" spans="1:162" ht="15.75"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row>
    <row r="352" spans="1:162" ht="15.75"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row>
    <row r="353" spans="1:162" ht="15.75"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row>
    <row r="354" spans="1:162" ht="15.75"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row>
    <row r="355" spans="1:162" ht="15.75"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row>
    <row r="356" spans="1:162" ht="15.75"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row>
    <row r="357" spans="1:162" ht="15.75"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row>
    <row r="358" spans="1:162" ht="15.75"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row>
    <row r="359" spans="1:162" ht="15.75"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row>
    <row r="360" spans="1:162" ht="15.75"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row>
    <row r="361" spans="1:162" ht="15.75"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row>
    <row r="362" spans="1:162" ht="15.75"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row>
    <row r="363" spans="1:162" ht="15.75"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row>
    <row r="364" spans="1:162" ht="15.75"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row>
    <row r="365" spans="1:162" ht="15.75"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row>
    <row r="366" spans="1:162" ht="15.75"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row>
    <row r="367" spans="1:162" ht="15.75"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row>
    <row r="368" spans="1:162" ht="15.75"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row>
    <row r="369" spans="1:162" ht="15.75" customHeight="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row>
    <row r="370" spans="1:162" ht="15.75" customHeight="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row>
    <row r="371" spans="1:162" ht="15.75"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row>
    <row r="372" spans="1:162" ht="15.75" customHeight="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row>
    <row r="373" spans="1:162" ht="15.75" customHeight="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row>
    <row r="374" spans="1:162" ht="15.75" customHeight="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row>
    <row r="375" spans="1:162" ht="15.75" customHeight="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row>
    <row r="376" spans="1:162" ht="15.75" customHeight="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row>
    <row r="377" spans="1:162" ht="15.75" customHeight="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row>
    <row r="378" spans="1:162" ht="15.75" customHeight="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row>
    <row r="379" spans="1:162" ht="15.75" customHeight="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row>
    <row r="380" spans="1:162" ht="15.75" customHeight="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row>
    <row r="381" spans="1:162" ht="15.75" customHeight="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row>
    <row r="382" spans="1:162" ht="15.75" customHeight="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row>
    <row r="383" spans="1:162" ht="15.75"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row>
    <row r="384" spans="1:162" ht="15.75" customHeight="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row>
    <row r="385" spans="1:162" ht="15.75" customHeight="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row>
    <row r="386" spans="1:162" ht="15.75" customHeight="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row>
    <row r="387" spans="1:162" ht="15.75" customHeight="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row>
    <row r="388" spans="1:162" ht="15.75" customHeight="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row>
    <row r="389" spans="1:162" ht="15.75" customHeight="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row>
    <row r="390" spans="1:162" ht="15.75" customHeight="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row>
    <row r="391" spans="1:162" ht="15.75" customHeight="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row>
    <row r="392" spans="1:162" ht="15.75" customHeight="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c r="CM392" s="93"/>
      <c r="CN392" s="93"/>
      <c r="CO392" s="93"/>
      <c r="CP392" s="93"/>
      <c r="CQ392" s="93"/>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row>
    <row r="393" spans="1:162" ht="15.75" customHeight="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c r="CM393" s="93"/>
      <c r="CN393" s="93"/>
      <c r="CO393" s="93"/>
      <c r="CP393" s="93"/>
      <c r="CQ393" s="93"/>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row>
    <row r="394" spans="1:162" ht="15.75" customHeight="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c r="CM394" s="93"/>
      <c r="CN394" s="93"/>
      <c r="CO394" s="93"/>
      <c r="CP394" s="93"/>
      <c r="CQ394" s="93"/>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row>
    <row r="395" spans="1:162" ht="15.75"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row>
    <row r="396" spans="1:162" ht="15.75" customHeight="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c r="CM396" s="93"/>
      <c r="CN396" s="93"/>
      <c r="CO396" s="93"/>
      <c r="CP396" s="93"/>
      <c r="CQ396" s="93"/>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row>
    <row r="397" spans="1:162" ht="15.75" customHeight="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row>
    <row r="398" spans="1:162" ht="15.75" customHeight="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row>
    <row r="399" spans="1:162" ht="15.75" customHeight="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row>
    <row r="400" spans="1:162" ht="15.75" customHeight="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row>
    <row r="401" spans="1:162" ht="15.75" customHeight="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c r="CM401" s="93"/>
      <c r="CN401" s="93"/>
      <c r="CO401" s="93"/>
      <c r="CP401" s="93"/>
      <c r="CQ401" s="93"/>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row>
    <row r="402" spans="1:162" ht="15.75" customHeight="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row>
    <row r="403" spans="1:162" ht="15.75" customHeight="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row>
    <row r="404" spans="1:162" ht="15.75" customHeight="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row>
    <row r="405" spans="1:162" ht="15.75" customHeight="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row>
    <row r="406" spans="1:162" ht="15.75" customHeight="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row>
    <row r="407" spans="1:162" ht="15.75" customHeight="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row>
    <row r="408" spans="1:162" ht="15.75" customHeight="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c r="CM408" s="93"/>
      <c r="CN408" s="93"/>
      <c r="CO408" s="93"/>
      <c r="CP408" s="93"/>
      <c r="CQ408" s="93"/>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row>
    <row r="409" spans="1:162" ht="15.75" customHeight="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c r="CM409" s="93"/>
      <c r="CN409" s="93"/>
      <c r="CO409" s="93"/>
      <c r="CP409" s="93"/>
      <c r="CQ409" s="93"/>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row>
    <row r="410" spans="1:162" ht="15.75" customHeight="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row>
    <row r="411" spans="1:162" ht="15.75" customHeight="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row>
    <row r="412" spans="1:162" ht="15.75" customHeight="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row>
    <row r="413" spans="1:162" ht="15.75" customHeight="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row>
    <row r="414" spans="1:162" ht="15.75" customHeight="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c r="CM414" s="93"/>
      <c r="CN414" s="93"/>
      <c r="CO414" s="93"/>
      <c r="CP414" s="93"/>
      <c r="CQ414" s="93"/>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row>
    <row r="415" spans="1:162" ht="15.75" customHeight="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c r="CM415" s="93"/>
      <c r="CN415" s="93"/>
      <c r="CO415" s="93"/>
      <c r="CP415" s="93"/>
      <c r="CQ415" s="93"/>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row>
    <row r="416" spans="1:162" ht="15.75"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row>
    <row r="417" spans="1:162" ht="15.75" customHeight="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row>
    <row r="418" spans="1:162" ht="15.75" customHeight="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row>
    <row r="419" spans="1:162" ht="15.75" customHeight="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row>
    <row r="420" spans="1:162" ht="15.75" customHeight="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row>
    <row r="421" spans="1:162" ht="15.75" customHeight="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row>
    <row r="422" spans="1:162" ht="15.75" customHeight="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row>
    <row r="423" spans="1:162" ht="15.75" customHeight="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row>
    <row r="424" spans="1:162" ht="15.75" customHeight="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row>
    <row r="425" spans="1:162" ht="15.75" customHeight="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row>
    <row r="426" spans="1:162" ht="15.75" customHeight="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row>
    <row r="427" spans="1:162" ht="15.75" customHeight="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row>
    <row r="428" spans="1:162" ht="15.75"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row>
    <row r="429" spans="1:162" ht="15.75" customHeight="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row>
    <row r="430" spans="1:162" ht="15.75" customHeight="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row>
    <row r="431" spans="1:162" ht="15.75" customHeight="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row>
    <row r="432" spans="1:162" ht="15.75" customHeight="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row>
    <row r="433" spans="1:162" ht="15.75" customHeight="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row>
    <row r="434" spans="1:162" ht="15.75" customHeight="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row>
    <row r="435" spans="1:162" ht="15.75" customHeight="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row>
    <row r="436" spans="1:162" ht="15.75" customHeight="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c r="CM436" s="93"/>
      <c r="CN436" s="93"/>
      <c r="CO436" s="93"/>
      <c r="CP436" s="93"/>
      <c r="CQ436" s="93"/>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row>
    <row r="437" spans="1:162" ht="15.75" customHeight="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row>
    <row r="438" spans="1:162" ht="15.75" customHeight="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row>
    <row r="439" spans="1:162" ht="15.75" customHeight="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row>
    <row r="440" spans="1:162" ht="15.75"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row>
    <row r="441" spans="1:162" ht="15.75" customHeight="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row>
    <row r="442" spans="1:162" ht="15.75" customHeight="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row>
    <row r="443" spans="1:162" ht="15.75" customHeight="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row>
    <row r="444" spans="1:162" ht="15.75" customHeight="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row>
    <row r="445" spans="1:162" ht="15.75" customHeight="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row>
    <row r="446" spans="1:162" ht="15.75" customHeight="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c r="CM446" s="93"/>
      <c r="CN446" s="93"/>
      <c r="CO446" s="93"/>
      <c r="CP446" s="93"/>
      <c r="CQ446" s="93"/>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row>
    <row r="447" spans="1:162" ht="15.75" customHeight="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row>
    <row r="448" spans="1:162" ht="15.75" customHeight="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row>
    <row r="449" spans="1:162" ht="15.75" customHeight="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row>
    <row r="450" spans="1:162" ht="15.75" customHeight="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row>
    <row r="451" spans="1:162" ht="15.75" customHeight="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row>
    <row r="452" spans="1:162" ht="15.75" customHeight="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row>
    <row r="453" spans="1:162" ht="15.75" customHeight="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row>
    <row r="454" spans="1:162" ht="15.75" customHeight="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row>
    <row r="455" spans="1:162" ht="15.75" customHeight="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row>
    <row r="456" spans="1:162" ht="15.75" customHeight="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c r="CM456" s="93"/>
      <c r="CN456" s="93"/>
      <c r="CO456" s="93"/>
      <c r="CP456" s="93"/>
      <c r="CQ456" s="93"/>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row>
    <row r="457" spans="1:162" ht="15.75" customHeight="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row>
    <row r="458" spans="1:162" ht="15.75" customHeight="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row>
    <row r="459" spans="1:162" ht="15.75" customHeight="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row>
    <row r="460" spans="1:162" ht="15.75" customHeight="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row>
    <row r="461" spans="1:162" ht="15.75"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row>
    <row r="462" spans="1:162" ht="15.75" customHeight="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row>
    <row r="463" spans="1:162" ht="15.75" customHeight="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row>
    <row r="464" spans="1:162" ht="15.75" customHeight="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row>
    <row r="465" spans="1:162" ht="15.75" customHeight="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row>
    <row r="466" spans="1:162" ht="15.75" customHeight="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row>
    <row r="467" spans="1:162" ht="15.75" customHeight="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row>
    <row r="468" spans="1:162" ht="15.75" customHeight="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row>
    <row r="469" spans="1:162" ht="15.75" customHeight="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row>
    <row r="470" spans="1:162" ht="15.75" customHeight="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row>
    <row r="471" spans="1:162" ht="15.75" customHeight="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row>
    <row r="472" spans="1:162" ht="15.75" customHeight="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c r="CM472" s="93"/>
      <c r="CN472" s="93"/>
      <c r="CO472" s="93"/>
      <c r="CP472" s="93"/>
      <c r="CQ472" s="93"/>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row>
    <row r="473" spans="1:162" ht="15.75"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row>
    <row r="474" spans="1:162" ht="15.75" customHeight="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c r="CM474" s="93"/>
      <c r="CN474" s="93"/>
      <c r="CO474" s="93"/>
      <c r="CP474" s="93"/>
      <c r="CQ474" s="93"/>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row>
    <row r="475" spans="1:162" ht="15.75" customHeight="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row>
    <row r="476" spans="1:162" ht="15.75" customHeight="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c r="CM476" s="93"/>
      <c r="CN476" s="93"/>
      <c r="CO476" s="93"/>
      <c r="CP476" s="93"/>
      <c r="CQ476" s="93"/>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row>
    <row r="477" spans="1:162" ht="15.75" customHeight="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row>
    <row r="478" spans="1:162" ht="15.75" customHeight="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row>
    <row r="479" spans="1:162" ht="15.75" customHeight="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row>
    <row r="480" spans="1:162" ht="15.75" customHeight="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row>
    <row r="481" spans="1:162" ht="15.75" customHeight="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row>
    <row r="482" spans="1:162" ht="15.75" customHeight="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row>
    <row r="483" spans="1:162" ht="15.75" customHeight="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row>
    <row r="484" spans="1:162" ht="15.75" customHeight="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row>
    <row r="485" spans="1:162" ht="15.75"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row>
    <row r="486" spans="1:162" ht="15.75" customHeight="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row>
    <row r="487" spans="1:162" ht="15.75" customHeight="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row>
    <row r="488" spans="1:162" ht="15.75" customHeight="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row>
    <row r="489" spans="1:162" ht="15.75" customHeight="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row>
    <row r="490" spans="1:162" ht="15.75" customHeight="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row>
    <row r="491" spans="1:162" ht="15.75" customHeight="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row>
    <row r="492" spans="1:162" ht="15.75" customHeight="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row>
    <row r="493" spans="1:162" ht="15.75"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row>
    <row r="494" spans="1:162" ht="15.75"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row>
    <row r="495" spans="1:162" ht="15.75"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row>
    <row r="496" spans="1:162" ht="15.75"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c r="CM496" s="93"/>
      <c r="CN496" s="93"/>
      <c r="CO496" s="93"/>
      <c r="CP496" s="93"/>
      <c r="CQ496" s="93"/>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row>
    <row r="497" spans="1:162" ht="15.75"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row>
    <row r="498" spans="1:162" ht="15.75"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c r="CM498" s="93"/>
      <c r="CN498" s="93"/>
      <c r="CO498" s="93"/>
      <c r="CP498" s="93"/>
      <c r="CQ498" s="93"/>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row>
    <row r="499" spans="1:162" ht="15.75" customHeight="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row>
    <row r="500" spans="1:162" ht="15.75" customHeight="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row>
    <row r="501" spans="1:162" ht="15.75" customHeight="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row>
    <row r="502" spans="1:162" ht="15.75" customHeight="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row>
    <row r="503" spans="1:162" ht="15.75" customHeight="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row>
    <row r="504" spans="1:162" ht="15.75" customHeight="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row>
    <row r="505" spans="1:162" ht="15.75" customHeight="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row>
    <row r="506" spans="1:162" ht="15.75"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row>
    <row r="507" spans="1:162" ht="15.75" customHeight="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row>
    <row r="508" spans="1:162" ht="15.75" customHeight="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row>
    <row r="509" spans="1:162" ht="15.75" customHeight="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row>
    <row r="510" spans="1:162" ht="15.75" customHeight="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row>
    <row r="511" spans="1:162" ht="15.75" customHeight="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row>
    <row r="512" spans="1:162" ht="15.75" customHeight="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row>
    <row r="513" spans="1:162" ht="15.75" customHeight="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row>
    <row r="514" spans="1:162" ht="15.75" customHeight="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row>
    <row r="515" spans="1:162" ht="15.75" customHeight="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row>
    <row r="516" spans="1:162" ht="15.75" customHeight="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row>
    <row r="517" spans="1:162" ht="15.75" customHeight="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row>
    <row r="518" spans="1:162" ht="15.75"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row>
    <row r="519" spans="1:162" ht="15.75" customHeight="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row>
    <row r="520" spans="1:162" ht="15.75" customHeight="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c r="CM520" s="93"/>
      <c r="CN520" s="93"/>
      <c r="CO520" s="93"/>
      <c r="CP520" s="93"/>
      <c r="CQ520" s="93"/>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row>
    <row r="521" spans="1:162" ht="15.75" customHeight="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row>
    <row r="522" spans="1:162" ht="15.75" customHeight="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c r="CM522" s="93"/>
      <c r="CN522" s="93"/>
      <c r="CO522" s="93"/>
      <c r="CP522" s="93"/>
      <c r="CQ522" s="93"/>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row>
    <row r="523" spans="1:162" ht="15.75" customHeight="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row>
    <row r="524" spans="1:162" ht="15.75" customHeight="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c r="CM524" s="93"/>
      <c r="CN524" s="93"/>
      <c r="CO524" s="93"/>
      <c r="CP524" s="93"/>
      <c r="CQ524" s="93"/>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row>
    <row r="525" spans="1:162" ht="15.75" customHeight="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row>
    <row r="526" spans="1:162" ht="15.75" customHeight="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c r="CM526" s="93"/>
      <c r="CN526" s="93"/>
      <c r="CO526" s="93"/>
      <c r="CP526" s="93"/>
      <c r="CQ526" s="93"/>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row>
    <row r="527" spans="1:162" ht="15.75" customHeight="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row>
    <row r="528" spans="1:162" ht="15.75" customHeight="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row>
    <row r="529" spans="1:162" ht="15.75" customHeight="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row>
    <row r="530" spans="1:162" ht="15.75"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row>
    <row r="531" spans="1:162" ht="15.75" customHeight="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row>
    <row r="532" spans="1:162" ht="15.75" customHeight="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row>
    <row r="533" spans="1:162" ht="15.75" customHeight="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row>
    <row r="534" spans="1:162" ht="15.75" customHeight="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row>
    <row r="535" spans="1:162" ht="15.75" customHeight="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row>
    <row r="536" spans="1:162" ht="15.75" customHeight="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c r="CM536" s="93"/>
      <c r="CN536" s="93"/>
      <c r="CO536" s="93"/>
      <c r="CP536" s="93"/>
      <c r="CQ536" s="93"/>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row>
    <row r="537" spans="1:162" ht="15.75" customHeight="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row>
    <row r="538" spans="1:162" ht="15.75" customHeight="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row>
    <row r="539" spans="1:162" ht="15.75" customHeight="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row>
    <row r="540" spans="1:162" ht="15.75" customHeight="1">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row>
    <row r="541" spans="1:162" ht="15.75" customHeigh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row>
    <row r="542" spans="1:162" ht="15.75" customHeight="1">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row>
    <row r="543" spans="1:162" ht="15.75" customHeight="1">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row>
    <row r="544" spans="1:162" ht="15.75" customHeight="1">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row>
    <row r="545" spans="1:162" ht="15.75" customHeight="1">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row>
    <row r="546" spans="1:162" ht="15.75" customHeight="1">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row>
    <row r="547" spans="1:162" ht="15.75" customHeight="1">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row>
    <row r="548" spans="1:162" ht="15.75" customHeight="1">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row>
    <row r="549" spans="1:162" ht="15.75" customHeight="1">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row>
    <row r="550" spans="1:162" ht="15.75" customHeight="1">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row>
    <row r="551" spans="1:162" ht="15.75" customHeigh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row>
    <row r="552" spans="1:162" ht="15.75" customHeight="1">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c r="CM552" s="93"/>
      <c r="CN552" s="93"/>
      <c r="CO552" s="93"/>
      <c r="CP552" s="93"/>
      <c r="CQ552" s="93"/>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row>
    <row r="553" spans="1:162" ht="15.75" customHeight="1">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row>
    <row r="554" spans="1:162" ht="15.75" customHeight="1">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row>
    <row r="555" spans="1:162" ht="15.75" customHeight="1">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row>
    <row r="556" spans="1:162" ht="15.75" customHeight="1">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row>
    <row r="557" spans="1:162" ht="15.75" customHeight="1">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c r="CM557" s="93"/>
      <c r="CN557" s="93"/>
      <c r="CO557" s="93"/>
      <c r="CP557" s="93"/>
      <c r="CQ557" s="93"/>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row>
    <row r="558" spans="1:162" ht="15.75" customHeight="1">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c r="CM558" s="93"/>
      <c r="CN558" s="93"/>
      <c r="CO558" s="93"/>
      <c r="CP558" s="93"/>
      <c r="CQ558" s="93"/>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row>
    <row r="559" spans="1:162" ht="15.75" customHeight="1">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row>
    <row r="560" spans="1:162" ht="15.75" customHeight="1">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row>
    <row r="561" spans="1:162" ht="15.75" customHeight="1">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row>
    <row r="562" spans="1:162" ht="15.75" customHeight="1">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row>
    <row r="563" spans="1:162" ht="15.75" customHeight="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row>
    <row r="564" spans="1:162" ht="15.75" customHeight="1">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row>
    <row r="565" spans="1:162" ht="15.75" customHeight="1">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row>
    <row r="566" spans="1:162" ht="15.75" customHeight="1">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row>
    <row r="567" spans="1:162" ht="15.75" customHeight="1">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row>
    <row r="568" spans="1:162" ht="15.75" customHeight="1">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c r="CM568" s="93"/>
      <c r="CN568" s="93"/>
      <c r="CO568" s="93"/>
      <c r="CP568" s="93"/>
      <c r="CQ568" s="93"/>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row>
    <row r="569" spans="1:162" ht="15.75" customHeight="1">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c r="CM569" s="93"/>
      <c r="CN569" s="93"/>
      <c r="CO569" s="93"/>
      <c r="CP569" s="93"/>
      <c r="CQ569" s="93"/>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row>
    <row r="570" spans="1:162" ht="15.75" customHeight="1">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c r="CM570" s="93"/>
      <c r="CN570" s="93"/>
      <c r="CO570" s="93"/>
      <c r="CP570" s="93"/>
      <c r="CQ570" s="93"/>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row>
    <row r="571" spans="1:162" ht="15.75" customHeight="1">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row>
    <row r="572" spans="1:162" ht="15.75" customHeight="1">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row>
    <row r="573" spans="1:162" ht="15.75" customHeight="1">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row>
    <row r="574" spans="1:162" ht="15.75" customHeight="1">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row>
    <row r="575" spans="1:162" ht="15.75" customHeight="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row>
    <row r="576" spans="1:162" ht="15.75" customHeight="1">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row>
    <row r="577" spans="1:162" ht="15.75" customHeight="1">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row>
    <row r="578" spans="1:162" ht="15.75" customHeight="1">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c r="CM578" s="93"/>
      <c r="CN578" s="93"/>
      <c r="CO578" s="93"/>
      <c r="CP578" s="93"/>
      <c r="CQ578" s="93"/>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row>
    <row r="579" spans="1:162" ht="15.75" customHeight="1">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c r="CM579" s="93"/>
      <c r="CN579" s="93"/>
      <c r="CO579" s="93"/>
      <c r="CP579" s="93"/>
      <c r="CQ579" s="93"/>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row>
    <row r="580" spans="1:162" ht="15.75" customHeight="1">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c r="CM580" s="93"/>
      <c r="CN580" s="93"/>
      <c r="CO580" s="93"/>
      <c r="CP580" s="93"/>
      <c r="CQ580" s="93"/>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row>
    <row r="581" spans="1:162" ht="15.75" customHeight="1">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c r="CM581" s="93"/>
      <c r="CN581" s="93"/>
      <c r="CO581" s="93"/>
      <c r="CP581" s="93"/>
      <c r="CQ581" s="93"/>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row>
    <row r="582" spans="1:162" ht="15.75" customHeight="1">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row>
    <row r="583" spans="1:162" ht="15.75" customHeight="1">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c r="CM583" s="93"/>
      <c r="CN583" s="93"/>
      <c r="CO583" s="93"/>
      <c r="CP583" s="93"/>
      <c r="CQ583" s="93"/>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row>
    <row r="584" spans="1:162" ht="15.75" customHeight="1">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c r="CM584" s="93"/>
      <c r="CN584" s="93"/>
      <c r="CO584" s="93"/>
      <c r="CP584" s="93"/>
      <c r="CQ584" s="93"/>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row>
    <row r="585" spans="1:162" ht="15.75" customHeight="1">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row>
    <row r="586" spans="1:162" ht="15.75" customHeight="1">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row>
    <row r="587" spans="1:162" ht="15.75" customHeight="1">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row>
    <row r="588" spans="1:162" ht="15.75" customHeight="1">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row>
    <row r="589" spans="1:162" ht="15.75" customHeight="1">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row>
    <row r="590" spans="1:162" ht="15.75" customHeight="1">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row>
    <row r="591" spans="1:162" ht="15.75" customHeight="1">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row>
    <row r="592" spans="1:162" ht="15.75" customHeight="1">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row>
    <row r="593" spans="1:162" ht="15.75" customHeight="1">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row>
    <row r="594" spans="1:162" ht="15.75" customHeight="1">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row>
    <row r="595" spans="1:162" ht="15.75" customHeight="1">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row>
    <row r="596" spans="1:162" ht="15.75" customHeight="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row>
    <row r="597" spans="1:162" ht="15.75" customHeight="1">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c r="CM597" s="93"/>
      <c r="CN597" s="93"/>
      <c r="CO597" s="93"/>
      <c r="CP597" s="93"/>
      <c r="CQ597" s="93"/>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row>
    <row r="598" spans="1:162" ht="15.75" customHeight="1">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c r="CM598" s="93"/>
      <c r="CN598" s="93"/>
      <c r="CO598" s="93"/>
      <c r="CP598" s="93"/>
      <c r="CQ598" s="93"/>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row>
    <row r="599" spans="1:162" ht="15.75" customHeight="1">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row>
    <row r="600" spans="1:162" ht="15.75" customHeight="1">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c r="CM600" s="93"/>
      <c r="CN600" s="93"/>
      <c r="CO600" s="93"/>
      <c r="CP600" s="93"/>
      <c r="CQ600" s="93"/>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row>
    <row r="601" spans="1:162" ht="15.75" customHeight="1">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c r="CM601" s="93"/>
      <c r="CN601" s="93"/>
      <c r="CO601" s="93"/>
      <c r="CP601" s="93"/>
      <c r="CQ601" s="93"/>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row>
    <row r="602" spans="1:162" ht="15.75" customHeight="1">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c r="CM602" s="93"/>
      <c r="CN602" s="93"/>
      <c r="CO602" s="93"/>
      <c r="CP602" s="93"/>
      <c r="CQ602" s="93"/>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row>
    <row r="603" spans="1:162" ht="15.75" customHeight="1">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row>
    <row r="604" spans="1:162" ht="15.75" customHeight="1">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row>
    <row r="605" spans="1:162" ht="15.75" customHeight="1">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row>
    <row r="606" spans="1:162" ht="15.75" customHeight="1">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c r="CM606" s="93"/>
      <c r="CN606" s="93"/>
      <c r="CO606" s="93"/>
      <c r="CP606" s="93"/>
      <c r="CQ606" s="93"/>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row>
    <row r="607" spans="1:162" ht="15.75" customHeight="1">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c r="CM607" s="93"/>
      <c r="CN607" s="93"/>
      <c r="CO607" s="93"/>
      <c r="CP607" s="93"/>
      <c r="CQ607" s="93"/>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row>
    <row r="608" spans="1:162" ht="15.75" customHeight="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row>
    <row r="609" spans="1:162" ht="15.75" customHeight="1">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c r="CM609" s="93"/>
      <c r="CN609" s="93"/>
      <c r="CO609" s="93"/>
      <c r="CP609" s="93"/>
      <c r="CQ609" s="93"/>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row>
    <row r="610" spans="1:162" ht="15.75" customHeight="1">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row>
    <row r="611" spans="1:162" ht="15.75" customHeight="1">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row>
    <row r="612" spans="1:162" ht="15.75" customHeight="1">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row>
    <row r="613" spans="1:162" ht="15.75" customHeight="1">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row>
    <row r="614" spans="1:162" ht="15.75" customHeight="1">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row>
    <row r="615" spans="1:162" ht="15.75" customHeight="1">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row>
    <row r="616" spans="1:162" ht="15.75" customHeight="1">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row>
    <row r="617" spans="1:162" ht="15.75" customHeight="1">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row>
    <row r="618" spans="1:162" ht="15.75" customHeight="1">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row>
    <row r="619" spans="1:162" ht="15.75" customHeight="1">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row>
    <row r="620" spans="1:162" ht="15.75" customHeight="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row>
    <row r="621" spans="1:162" ht="15.75" customHeight="1">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c r="CM621" s="93"/>
      <c r="CN621" s="93"/>
      <c r="CO621" s="93"/>
      <c r="CP621" s="93"/>
      <c r="CQ621" s="93"/>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row>
    <row r="622" spans="1:162" ht="15.75" customHeight="1">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row>
    <row r="623" spans="1:162" ht="15.75" customHeight="1">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row>
    <row r="624" spans="1:162" ht="15.75" customHeight="1">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c r="CM624" s="93"/>
      <c r="CN624" s="93"/>
      <c r="CO624" s="93"/>
      <c r="CP624" s="93"/>
      <c r="CQ624" s="93"/>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row>
    <row r="625" spans="1:162" ht="15.75" customHeight="1">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c r="CM625" s="93"/>
      <c r="CN625" s="93"/>
      <c r="CO625" s="93"/>
      <c r="CP625" s="93"/>
      <c r="CQ625" s="93"/>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row>
    <row r="626" spans="1:162" ht="15.75" customHeight="1">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row>
    <row r="627" spans="1:162" ht="15.75" customHeight="1">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row>
    <row r="628" spans="1:162" ht="15.75" customHeight="1">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c r="CM628" s="93"/>
      <c r="CN628" s="93"/>
      <c r="CO628" s="93"/>
      <c r="CP628" s="93"/>
      <c r="CQ628" s="93"/>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row>
    <row r="629" spans="1:162" ht="15.75" customHeight="1">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c r="CM629" s="93"/>
      <c r="CN629" s="93"/>
      <c r="CO629" s="93"/>
      <c r="CP629" s="93"/>
      <c r="CQ629" s="93"/>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row>
    <row r="630" spans="1:162" ht="15.75" customHeight="1">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c r="CM630" s="93"/>
      <c r="CN630" s="93"/>
      <c r="CO630" s="93"/>
      <c r="CP630" s="93"/>
      <c r="CQ630" s="93"/>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row>
    <row r="631" spans="1:162" ht="15.75" customHeight="1">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c r="CO631" s="93"/>
      <c r="CP631" s="93"/>
      <c r="CQ631" s="93"/>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row>
    <row r="632" spans="1:162" ht="15.75" customHeight="1">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c r="CC632" s="93"/>
      <c r="CD632" s="93"/>
      <c r="CE632" s="93"/>
      <c r="CF632" s="93"/>
      <c r="CG632" s="93"/>
      <c r="CH632" s="93"/>
      <c r="CI632" s="93"/>
      <c r="CJ632" s="93"/>
      <c r="CK632" s="93"/>
      <c r="CL632" s="93"/>
      <c r="CM632" s="93"/>
      <c r="CN632" s="93"/>
      <c r="CO632" s="93"/>
      <c r="CP632" s="93"/>
      <c r="CQ632" s="93"/>
      <c r="CR632" s="93"/>
      <c r="CS632" s="93"/>
      <c r="CT632" s="93"/>
      <c r="CU632" s="93"/>
      <c r="CV632" s="93"/>
      <c r="CW632" s="93"/>
      <c r="CX632" s="93"/>
      <c r="CY632" s="93"/>
      <c r="CZ632" s="93"/>
      <c r="DA632" s="93"/>
      <c r="DB632" s="93"/>
      <c r="DC632" s="93"/>
      <c r="DD632" s="93"/>
      <c r="DE632" s="93"/>
      <c r="DF632" s="93"/>
      <c r="DG632" s="93"/>
      <c r="DH632" s="93"/>
      <c r="DI632" s="93"/>
      <c r="DJ632" s="93"/>
      <c r="DK632" s="93"/>
      <c r="DL632" s="93"/>
      <c r="DM632" s="93"/>
      <c r="DN632" s="93"/>
      <c r="DO632" s="93"/>
      <c r="DP632" s="93"/>
      <c r="DQ632" s="93"/>
      <c r="DR632" s="93"/>
      <c r="DS632" s="93"/>
      <c r="DT632" s="93"/>
      <c r="DU632" s="93"/>
      <c r="DV632" s="93"/>
      <c r="DW632" s="93"/>
      <c r="DX632" s="93"/>
      <c r="DY632" s="93"/>
      <c r="DZ632" s="93"/>
      <c r="EA632" s="93"/>
      <c r="EB632" s="93"/>
      <c r="EC632" s="93"/>
      <c r="ED632" s="93"/>
      <c r="EE632" s="93"/>
      <c r="EF632" s="93"/>
      <c r="EG632" s="93"/>
      <c r="EH632" s="93"/>
      <c r="EI632" s="93"/>
      <c r="EJ632" s="93"/>
      <c r="EK632" s="93"/>
      <c r="EL632" s="93"/>
      <c r="EM632" s="93"/>
      <c r="EN632" s="93"/>
      <c r="EO632" s="93"/>
      <c r="EP632" s="93"/>
      <c r="EQ632" s="93"/>
      <c r="ER632" s="93"/>
      <c r="ES632" s="93"/>
      <c r="ET632" s="93"/>
      <c r="EU632" s="93"/>
      <c r="EV632" s="93"/>
      <c r="EW632" s="93"/>
      <c r="EX632" s="93"/>
      <c r="EY632" s="93"/>
      <c r="EZ632" s="93"/>
      <c r="FA632" s="93"/>
      <c r="FB632" s="93"/>
      <c r="FC632" s="93"/>
      <c r="FD632" s="93"/>
      <c r="FE632" s="93"/>
      <c r="FF632" s="93"/>
    </row>
    <row r="633" spans="1:162" ht="15.75" customHeight="1">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c r="CC633" s="93"/>
      <c r="CD633" s="93"/>
      <c r="CE633" s="93"/>
      <c r="CF633" s="93"/>
      <c r="CG633" s="93"/>
      <c r="CH633" s="93"/>
      <c r="CI633" s="93"/>
      <c r="CJ633" s="93"/>
      <c r="CK633" s="93"/>
      <c r="CL633" s="93"/>
      <c r="CM633" s="93"/>
      <c r="CN633" s="93"/>
      <c r="CO633" s="93"/>
      <c r="CP633" s="93"/>
      <c r="CQ633" s="93"/>
      <c r="CR633" s="93"/>
      <c r="CS633" s="93"/>
      <c r="CT633" s="93"/>
      <c r="CU633" s="93"/>
      <c r="CV633" s="93"/>
      <c r="CW633" s="93"/>
      <c r="CX633" s="93"/>
      <c r="CY633" s="93"/>
      <c r="CZ633" s="93"/>
      <c r="DA633" s="93"/>
      <c r="DB633" s="93"/>
      <c r="DC633" s="93"/>
      <c r="DD633" s="93"/>
      <c r="DE633" s="93"/>
      <c r="DF633" s="93"/>
      <c r="DG633" s="93"/>
      <c r="DH633" s="93"/>
      <c r="DI633" s="93"/>
      <c r="DJ633" s="93"/>
      <c r="DK633" s="93"/>
      <c r="DL633" s="93"/>
      <c r="DM633" s="93"/>
      <c r="DN633" s="93"/>
      <c r="DO633" s="93"/>
      <c r="DP633" s="93"/>
      <c r="DQ633" s="93"/>
      <c r="DR633" s="93"/>
      <c r="DS633" s="93"/>
      <c r="DT633" s="93"/>
      <c r="DU633" s="93"/>
      <c r="DV633" s="93"/>
      <c r="DW633" s="93"/>
      <c r="DX633" s="93"/>
      <c r="DY633" s="93"/>
      <c r="DZ633" s="93"/>
      <c r="EA633" s="93"/>
      <c r="EB633" s="93"/>
      <c r="EC633" s="93"/>
      <c r="ED633" s="93"/>
      <c r="EE633" s="93"/>
      <c r="EF633" s="93"/>
      <c r="EG633" s="93"/>
      <c r="EH633" s="93"/>
      <c r="EI633" s="93"/>
      <c r="EJ633" s="93"/>
      <c r="EK633" s="93"/>
      <c r="EL633" s="93"/>
      <c r="EM633" s="93"/>
      <c r="EN633" s="93"/>
      <c r="EO633" s="93"/>
      <c r="EP633" s="93"/>
      <c r="EQ633" s="93"/>
      <c r="ER633" s="93"/>
      <c r="ES633" s="93"/>
      <c r="ET633" s="93"/>
      <c r="EU633" s="93"/>
      <c r="EV633" s="93"/>
      <c r="EW633" s="93"/>
      <c r="EX633" s="93"/>
      <c r="EY633" s="93"/>
      <c r="EZ633" s="93"/>
      <c r="FA633" s="93"/>
      <c r="FB633" s="93"/>
      <c r="FC633" s="93"/>
      <c r="FD633" s="93"/>
      <c r="FE633" s="93"/>
      <c r="FF633" s="93"/>
    </row>
    <row r="634" spans="1:162" ht="15.75" customHeight="1">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c r="CM634" s="93"/>
      <c r="CN634" s="93"/>
      <c r="CO634" s="93"/>
      <c r="CP634" s="93"/>
      <c r="CQ634" s="93"/>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93"/>
      <c r="DV634" s="93"/>
      <c r="DW634" s="93"/>
      <c r="DX634" s="93"/>
      <c r="DY634" s="93"/>
      <c r="DZ634" s="93"/>
      <c r="EA634" s="93"/>
      <c r="EB634" s="93"/>
      <c r="EC634" s="93"/>
      <c r="ED634" s="93"/>
      <c r="EE634" s="93"/>
      <c r="EF634" s="93"/>
      <c r="EG634" s="93"/>
      <c r="EH634" s="93"/>
      <c r="EI634" s="93"/>
      <c r="EJ634" s="93"/>
      <c r="EK634" s="93"/>
      <c r="EL634" s="93"/>
      <c r="EM634" s="93"/>
      <c r="EN634" s="93"/>
      <c r="EO634" s="93"/>
      <c r="EP634" s="93"/>
      <c r="EQ634" s="93"/>
      <c r="ER634" s="93"/>
      <c r="ES634" s="93"/>
      <c r="ET634" s="93"/>
      <c r="EU634" s="93"/>
      <c r="EV634" s="93"/>
      <c r="EW634" s="93"/>
      <c r="EX634" s="93"/>
      <c r="EY634" s="93"/>
      <c r="EZ634" s="93"/>
      <c r="FA634" s="93"/>
      <c r="FB634" s="93"/>
      <c r="FC634" s="93"/>
      <c r="FD634" s="93"/>
      <c r="FE634" s="93"/>
      <c r="FF634" s="93"/>
    </row>
    <row r="635" spans="1:162" ht="15.75" customHeight="1">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c r="CM635" s="93"/>
      <c r="CN635" s="93"/>
      <c r="CO635" s="93"/>
      <c r="CP635" s="93"/>
      <c r="CQ635" s="93"/>
      <c r="CR635" s="93"/>
      <c r="CS635" s="93"/>
      <c r="CT635" s="93"/>
      <c r="CU635" s="93"/>
      <c r="CV635" s="93"/>
      <c r="CW635" s="93"/>
      <c r="CX635" s="93"/>
      <c r="CY635" s="93"/>
      <c r="CZ635" s="93"/>
      <c r="DA635" s="93"/>
      <c r="DB635" s="93"/>
      <c r="DC635" s="93"/>
      <c r="DD635" s="93"/>
      <c r="DE635" s="93"/>
      <c r="DF635" s="93"/>
      <c r="DG635" s="93"/>
      <c r="DH635" s="93"/>
      <c r="DI635" s="93"/>
      <c r="DJ635" s="93"/>
      <c r="DK635" s="93"/>
      <c r="DL635" s="93"/>
      <c r="DM635" s="93"/>
      <c r="DN635" s="93"/>
      <c r="DO635" s="93"/>
      <c r="DP635" s="93"/>
      <c r="DQ635" s="93"/>
      <c r="DR635" s="93"/>
      <c r="DS635" s="93"/>
      <c r="DT635" s="93"/>
      <c r="DU635" s="93"/>
      <c r="DV635" s="93"/>
      <c r="DW635" s="93"/>
      <c r="DX635" s="93"/>
      <c r="DY635" s="93"/>
      <c r="DZ635" s="93"/>
      <c r="EA635" s="93"/>
      <c r="EB635" s="93"/>
      <c r="EC635" s="93"/>
      <c r="ED635" s="93"/>
      <c r="EE635" s="93"/>
      <c r="EF635" s="93"/>
      <c r="EG635" s="93"/>
      <c r="EH635" s="93"/>
      <c r="EI635" s="93"/>
      <c r="EJ635" s="93"/>
      <c r="EK635" s="93"/>
      <c r="EL635" s="93"/>
      <c r="EM635" s="93"/>
      <c r="EN635" s="93"/>
      <c r="EO635" s="93"/>
      <c r="EP635" s="93"/>
      <c r="EQ635" s="93"/>
      <c r="ER635" s="93"/>
      <c r="ES635" s="93"/>
      <c r="ET635" s="93"/>
      <c r="EU635" s="93"/>
      <c r="EV635" s="93"/>
      <c r="EW635" s="93"/>
      <c r="EX635" s="93"/>
      <c r="EY635" s="93"/>
      <c r="EZ635" s="93"/>
      <c r="FA635" s="93"/>
      <c r="FB635" s="93"/>
      <c r="FC635" s="93"/>
      <c r="FD635" s="93"/>
      <c r="FE635" s="93"/>
      <c r="FF635" s="93"/>
    </row>
    <row r="636" spans="1:162" ht="15.75" customHeight="1">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c r="CM636" s="93"/>
      <c r="CN636" s="93"/>
      <c r="CO636" s="93"/>
      <c r="CP636" s="93"/>
      <c r="CQ636" s="93"/>
      <c r="CR636" s="93"/>
      <c r="CS636" s="93"/>
      <c r="CT636" s="93"/>
      <c r="CU636" s="93"/>
      <c r="CV636" s="93"/>
      <c r="CW636" s="93"/>
      <c r="CX636" s="93"/>
      <c r="CY636" s="93"/>
      <c r="CZ636" s="93"/>
      <c r="DA636" s="93"/>
      <c r="DB636" s="93"/>
      <c r="DC636" s="93"/>
      <c r="DD636" s="93"/>
      <c r="DE636" s="93"/>
      <c r="DF636" s="93"/>
      <c r="DG636" s="93"/>
      <c r="DH636" s="93"/>
      <c r="DI636" s="93"/>
      <c r="DJ636" s="93"/>
      <c r="DK636" s="93"/>
      <c r="DL636" s="93"/>
      <c r="DM636" s="93"/>
      <c r="DN636" s="93"/>
      <c r="DO636" s="93"/>
      <c r="DP636" s="93"/>
      <c r="DQ636" s="93"/>
      <c r="DR636" s="93"/>
      <c r="DS636" s="93"/>
      <c r="DT636" s="93"/>
      <c r="DU636" s="93"/>
      <c r="DV636" s="93"/>
      <c r="DW636" s="93"/>
      <c r="DX636" s="93"/>
      <c r="DY636" s="93"/>
      <c r="DZ636" s="93"/>
      <c r="EA636" s="93"/>
      <c r="EB636" s="93"/>
      <c r="EC636" s="93"/>
      <c r="ED636" s="93"/>
      <c r="EE636" s="93"/>
      <c r="EF636" s="93"/>
      <c r="EG636" s="93"/>
      <c r="EH636" s="93"/>
      <c r="EI636" s="93"/>
      <c r="EJ636" s="93"/>
      <c r="EK636" s="93"/>
      <c r="EL636" s="93"/>
      <c r="EM636" s="93"/>
      <c r="EN636" s="93"/>
      <c r="EO636" s="93"/>
      <c r="EP636" s="93"/>
      <c r="EQ636" s="93"/>
      <c r="ER636" s="93"/>
      <c r="ES636" s="93"/>
      <c r="ET636" s="93"/>
      <c r="EU636" s="93"/>
      <c r="EV636" s="93"/>
      <c r="EW636" s="93"/>
      <c r="EX636" s="93"/>
      <c r="EY636" s="93"/>
      <c r="EZ636" s="93"/>
      <c r="FA636" s="93"/>
      <c r="FB636" s="93"/>
      <c r="FC636" s="93"/>
      <c r="FD636" s="93"/>
      <c r="FE636" s="93"/>
      <c r="FF636" s="93"/>
    </row>
    <row r="637" spans="1:162" ht="15.75" customHeight="1">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c r="CC637" s="93"/>
      <c r="CD637" s="93"/>
      <c r="CE637" s="93"/>
      <c r="CF637" s="93"/>
      <c r="CG637" s="93"/>
      <c r="CH637" s="93"/>
      <c r="CI637" s="93"/>
      <c r="CJ637" s="93"/>
      <c r="CK637" s="93"/>
      <c r="CL637" s="93"/>
      <c r="CM637" s="93"/>
      <c r="CN637" s="93"/>
      <c r="CO637" s="93"/>
      <c r="CP637" s="93"/>
      <c r="CQ637" s="93"/>
      <c r="CR637" s="93"/>
      <c r="CS637" s="93"/>
      <c r="CT637" s="93"/>
      <c r="CU637" s="93"/>
      <c r="CV637" s="93"/>
      <c r="CW637" s="93"/>
      <c r="CX637" s="93"/>
      <c r="CY637" s="93"/>
      <c r="CZ637" s="93"/>
      <c r="DA637" s="93"/>
      <c r="DB637" s="93"/>
      <c r="DC637" s="93"/>
      <c r="DD637" s="93"/>
      <c r="DE637" s="93"/>
      <c r="DF637" s="93"/>
      <c r="DG637" s="93"/>
      <c r="DH637" s="93"/>
      <c r="DI637" s="93"/>
      <c r="DJ637" s="93"/>
      <c r="DK637" s="93"/>
      <c r="DL637" s="93"/>
      <c r="DM637" s="93"/>
      <c r="DN637" s="93"/>
      <c r="DO637" s="93"/>
      <c r="DP637" s="93"/>
      <c r="DQ637" s="93"/>
      <c r="DR637" s="93"/>
      <c r="DS637" s="93"/>
      <c r="DT637" s="93"/>
      <c r="DU637" s="93"/>
      <c r="DV637" s="93"/>
      <c r="DW637" s="93"/>
      <c r="DX637" s="93"/>
      <c r="DY637" s="93"/>
      <c r="DZ637" s="93"/>
      <c r="EA637" s="93"/>
      <c r="EB637" s="93"/>
      <c r="EC637" s="93"/>
      <c r="ED637" s="93"/>
      <c r="EE637" s="93"/>
      <c r="EF637" s="93"/>
      <c r="EG637" s="93"/>
      <c r="EH637" s="93"/>
      <c r="EI637" s="93"/>
      <c r="EJ637" s="93"/>
      <c r="EK637" s="93"/>
      <c r="EL637" s="93"/>
      <c r="EM637" s="93"/>
      <c r="EN637" s="93"/>
      <c r="EO637" s="93"/>
      <c r="EP637" s="93"/>
      <c r="EQ637" s="93"/>
      <c r="ER637" s="93"/>
      <c r="ES637" s="93"/>
      <c r="ET637" s="93"/>
      <c r="EU637" s="93"/>
      <c r="EV637" s="93"/>
      <c r="EW637" s="93"/>
      <c r="EX637" s="93"/>
      <c r="EY637" s="93"/>
      <c r="EZ637" s="93"/>
      <c r="FA637" s="93"/>
      <c r="FB637" s="93"/>
      <c r="FC637" s="93"/>
      <c r="FD637" s="93"/>
      <c r="FE637" s="93"/>
      <c r="FF637" s="93"/>
    </row>
    <row r="638" spans="1:162" ht="15.75" customHeight="1">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c r="CC638" s="93"/>
      <c r="CD638" s="93"/>
      <c r="CE638" s="93"/>
      <c r="CF638" s="93"/>
      <c r="CG638" s="93"/>
      <c r="CH638" s="93"/>
      <c r="CI638" s="93"/>
      <c r="CJ638" s="93"/>
      <c r="CK638" s="93"/>
      <c r="CL638" s="93"/>
      <c r="CM638" s="93"/>
      <c r="CN638" s="93"/>
      <c r="CO638" s="93"/>
      <c r="CP638" s="93"/>
      <c r="CQ638" s="93"/>
      <c r="CR638" s="93"/>
      <c r="CS638" s="93"/>
      <c r="CT638" s="93"/>
      <c r="CU638" s="93"/>
      <c r="CV638" s="93"/>
      <c r="CW638" s="93"/>
      <c r="CX638" s="93"/>
      <c r="CY638" s="93"/>
      <c r="CZ638" s="93"/>
      <c r="DA638" s="93"/>
      <c r="DB638" s="93"/>
      <c r="DC638" s="93"/>
      <c r="DD638" s="93"/>
      <c r="DE638" s="93"/>
      <c r="DF638" s="93"/>
      <c r="DG638" s="93"/>
      <c r="DH638" s="93"/>
      <c r="DI638" s="93"/>
      <c r="DJ638" s="93"/>
      <c r="DK638" s="93"/>
      <c r="DL638" s="93"/>
      <c r="DM638" s="93"/>
      <c r="DN638" s="93"/>
      <c r="DO638" s="93"/>
      <c r="DP638" s="93"/>
      <c r="DQ638" s="93"/>
      <c r="DR638" s="93"/>
      <c r="DS638" s="93"/>
      <c r="DT638" s="93"/>
      <c r="DU638" s="93"/>
      <c r="DV638" s="93"/>
      <c r="DW638" s="93"/>
      <c r="DX638" s="93"/>
      <c r="DY638" s="93"/>
      <c r="DZ638" s="93"/>
      <c r="EA638" s="93"/>
      <c r="EB638" s="93"/>
      <c r="EC638" s="93"/>
      <c r="ED638" s="93"/>
      <c r="EE638" s="93"/>
      <c r="EF638" s="93"/>
      <c r="EG638" s="93"/>
      <c r="EH638" s="93"/>
      <c r="EI638" s="93"/>
      <c r="EJ638" s="93"/>
      <c r="EK638" s="93"/>
      <c r="EL638" s="93"/>
      <c r="EM638" s="93"/>
      <c r="EN638" s="93"/>
      <c r="EO638" s="93"/>
      <c r="EP638" s="93"/>
      <c r="EQ638" s="93"/>
      <c r="ER638" s="93"/>
      <c r="ES638" s="93"/>
      <c r="ET638" s="93"/>
      <c r="EU638" s="93"/>
      <c r="EV638" s="93"/>
      <c r="EW638" s="93"/>
      <c r="EX638" s="93"/>
      <c r="EY638" s="93"/>
      <c r="EZ638" s="93"/>
      <c r="FA638" s="93"/>
      <c r="FB638" s="93"/>
      <c r="FC638" s="93"/>
      <c r="FD638" s="93"/>
      <c r="FE638" s="93"/>
      <c r="FF638" s="93"/>
    </row>
    <row r="639" spans="1:162" ht="15.75" customHeight="1">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c r="CM639" s="93"/>
      <c r="CN639" s="93"/>
      <c r="CO639" s="93"/>
      <c r="CP639" s="93"/>
      <c r="CQ639" s="93"/>
      <c r="CR639" s="93"/>
      <c r="CS639" s="93"/>
      <c r="CT639" s="93"/>
      <c r="CU639" s="93"/>
      <c r="CV639" s="93"/>
      <c r="CW639" s="93"/>
      <c r="CX639" s="93"/>
      <c r="CY639" s="93"/>
      <c r="CZ639" s="93"/>
      <c r="DA639" s="93"/>
      <c r="DB639" s="93"/>
      <c r="DC639" s="93"/>
      <c r="DD639" s="93"/>
      <c r="DE639" s="93"/>
      <c r="DF639" s="93"/>
      <c r="DG639" s="93"/>
      <c r="DH639" s="93"/>
      <c r="DI639" s="93"/>
      <c r="DJ639" s="93"/>
      <c r="DK639" s="93"/>
      <c r="DL639" s="93"/>
      <c r="DM639" s="93"/>
      <c r="DN639" s="93"/>
      <c r="DO639" s="93"/>
      <c r="DP639" s="93"/>
      <c r="DQ639" s="93"/>
      <c r="DR639" s="93"/>
      <c r="DS639" s="93"/>
      <c r="DT639" s="93"/>
      <c r="DU639" s="93"/>
      <c r="DV639" s="93"/>
      <c r="DW639" s="93"/>
      <c r="DX639" s="93"/>
      <c r="DY639" s="93"/>
      <c r="DZ639" s="93"/>
      <c r="EA639" s="93"/>
      <c r="EB639" s="93"/>
      <c r="EC639" s="93"/>
      <c r="ED639" s="93"/>
      <c r="EE639" s="93"/>
      <c r="EF639" s="93"/>
      <c r="EG639" s="93"/>
      <c r="EH639" s="93"/>
      <c r="EI639" s="93"/>
      <c r="EJ639" s="93"/>
      <c r="EK639" s="93"/>
      <c r="EL639" s="93"/>
      <c r="EM639" s="93"/>
      <c r="EN639" s="93"/>
      <c r="EO639" s="93"/>
      <c r="EP639" s="93"/>
      <c r="EQ639" s="93"/>
      <c r="ER639" s="93"/>
      <c r="ES639" s="93"/>
      <c r="ET639" s="93"/>
      <c r="EU639" s="93"/>
      <c r="EV639" s="93"/>
      <c r="EW639" s="93"/>
      <c r="EX639" s="93"/>
      <c r="EY639" s="93"/>
      <c r="EZ639" s="93"/>
      <c r="FA639" s="93"/>
      <c r="FB639" s="93"/>
      <c r="FC639" s="93"/>
      <c r="FD639" s="93"/>
      <c r="FE639" s="93"/>
      <c r="FF639" s="93"/>
    </row>
    <row r="640" spans="1:162" ht="15.75" customHeight="1">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row>
    <row r="641" spans="1:162" ht="15.75" customHeight="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row>
    <row r="642" spans="1:162" ht="15.75" customHeight="1">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c r="CC642" s="93"/>
      <c r="CD642" s="93"/>
      <c r="CE642" s="93"/>
      <c r="CF642" s="93"/>
      <c r="CG642" s="93"/>
      <c r="CH642" s="93"/>
      <c r="CI642" s="93"/>
      <c r="CJ642" s="93"/>
      <c r="CK642" s="93"/>
      <c r="CL642" s="93"/>
      <c r="CM642" s="93"/>
      <c r="CN642" s="93"/>
      <c r="CO642" s="93"/>
      <c r="CP642" s="93"/>
      <c r="CQ642" s="93"/>
      <c r="CR642" s="93"/>
      <c r="CS642" s="93"/>
      <c r="CT642" s="93"/>
      <c r="CU642" s="93"/>
      <c r="CV642" s="93"/>
      <c r="CW642" s="93"/>
      <c r="CX642" s="93"/>
      <c r="CY642" s="93"/>
      <c r="CZ642" s="93"/>
      <c r="DA642" s="93"/>
      <c r="DB642" s="93"/>
      <c r="DC642" s="93"/>
      <c r="DD642" s="93"/>
      <c r="DE642" s="93"/>
      <c r="DF642" s="93"/>
      <c r="DG642" s="93"/>
      <c r="DH642" s="93"/>
      <c r="DI642" s="93"/>
      <c r="DJ642" s="93"/>
      <c r="DK642" s="93"/>
      <c r="DL642" s="93"/>
      <c r="DM642" s="93"/>
      <c r="DN642" s="93"/>
      <c r="DO642" s="93"/>
      <c r="DP642" s="93"/>
      <c r="DQ642" s="93"/>
      <c r="DR642" s="93"/>
      <c r="DS642" s="93"/>
      <c r="DT642" s="93"/>
      <c r="DU642" s="93"/>
      <c r="DV642" s="93"/>
      <c r="DW642" s="93"/>
      <c r="DX642" s="93"/>
      <c r="DY642" s="93"/>
      <c r="DZ642" s="93"/>
      <c r="EA642" s="93"/>
      <c r="EB642" s="93"/>
      <c r="EC642" s="93"/>
      <c r="ED642" s="93"/>
      <c r="EE642" s="93"/>
      <c r="EF642" s="93"/>
      <c r="EG642" s="93"/>
      <c r="EH642" s="93"/>
      <c r="EI642" s="93"/>
      <c r="EJ642" s="93"/>
      <c r="EK642" s="93"/>
      <c r="EL642" s="93"/>
      <c r="EM642" s="93"/>
      <c r="EN642" s="93"/>
      <c r="EO642" s="93"/>
      <c r="EP642" s="93"/>
      <c r="EQ642" s="93"/>
      <c r="ER642" s="93"/>
      <c r="ES642" s="93"/>
      <c r="ET642" s="93"/>
      <c r="EU642" s="93"/>
      <c r="EV642" s="93"/>
      <c r="EW642" s="93"/>
      <c r="EX642" s="93"/>
      <c r="EY642" s="93"/>
      <c r="EZ642" s="93"/>
      <c r="FA642" s="93"/>
      <c r="FB642" s="93"/>
      <c r="FC642" s="93"/>
      <c r="FD642" s="93"/>
      <c r="FE642" s="93"/>
      <c r="FF642" s="93"/>
    </row>
    <row r="643" spans="1:162" ht="15.75" customHeight="1">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row>
    <row r="644" spans="1:162" ht="15.75" customHeight="1">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row>
    <row r="645" spans="1:162" ht="15.75" customHeight="1">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row>
    <row r="646" spans="1:162" ht="15.75" customHeight="1">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row>
    <row r="647" spans="1:162" ht="15.75" customHeight="1">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row>
    <row r="648" spans="1:162" ht="15.75" customHeight="1">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row>
    <row r="649" spans="1:162" ht="15.75" customHeight="1">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c r="CM649" s="93"/>
      <c r="CN649" s="93"/>
      <c r="CO649" s="93"/>
      <c r="CP649" s="93"/>
      <c r="CQ649" s="93"/>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row>
    <row r="650" spans="1:162" ht="15.75" customHeight="1">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c r="CC650" s="93"/>
      <c r="CD650" s="93"/>
      <c r="CE650" s="93"/>
      <c r="CF650" s="93"/>
      <c r="CG650" s="93"/>
      <c r="CH650" s="93"/>
      <c r="CI650" s="93"/>
      <c r="CJ650" s="93"/>
      <c r="CK650" s="93"/>
      <c r="CL650" s="93"/>
      <c r="CM650" s="93"/>
      <c r="CN650" s="93"/>
      <c r="CO650" s="93"/>
      <c r="CP650" s="93"/>
      <c r="CQ650" s="93"/>
      <c r="CR650" s="93"/>
      <c r="CS650" s="93"/>
      <c r="CT650" s="93"/>
      <c r="CU650" s="93"/>
      <c r="CV650" s="93"/>
      <c r="CW650" s="93"/>
      <c r="CX650" s="93"/>
      <c r="CY650" s="93"/>
      <c r="CZ650" s="93"/>
      <c r="DA650" s="93"/>
      <c r="DB650" s="93"/>
      <c r="DC650" s="93"/>
      <c r="DD650" s="93"/>
      <c r="DE650" s="93"/>
      <c r="DF650" s="93"/>
      <c r="DG650" s="93"/>
      <c r="DH650" s="93"/>
      <c r="DI650" s="93"/>
      <c r="DJ650" s="93"/>
      <c r="DK650" s="93"/>
      <c r="DL650" s="93"/>
      <c r="DM650" s="93"/>
      <c r="DN650" s="93"/>
      <c r="DO650" s="93"/>
      <c r="DP650" s="93"/>
      <c r="DQ650" s="93"/>
      <c r="DR650" s="93"/>
      <c r="DS650" s="93"/>
      <c r="DT650" s="93"/>
      <c r="DU650" s="93"/>
      <c r="DV650" s="93"/>
      <c r="DW650" s="93"/>
      <c r="DX650" s="93"/>
      <c r="DY650" s="93"/>
      <c r="DZ650" s="93"/>
      <c r="EA650" s="93"/>
      <c r="EB650" s="93"/>
      <c r="EC650" s="93"/>
      <c r="ED650" s="93"/>
      <c r="EE650" s="93"/>
      <c r="EF650" s="93"/>
      <c r="EG650" s="93"/>
      <c r="EH650" s="93"/>
      <c r="EI650" s="93"/>
      <c r="EJ650" s="93"/>
      <c r="EK650" s="93"/>
      <c r="EL650" s="93"/>
      <c r="EM650" s="93"/>
      <c r="EN650" s="93"/>
      <c r="EO650" s="93"/>
      <c r="EP650" s="93"/>
      <c r="EQ650" s="93"/>
      <c r="ER650" s="93"/>
      <c r="ES650" s="93"/>
      <c r="ET650" s="93"/>
      <c r="EU650" s="93"/>
      <c r="EV650" s="93"/>
      <c r="EW650" s="93"/>
      <c r="EX650" s="93"/>
      <c r="EY650" s="93"/>
      <c r="EZ650" s="93"/>
      <c r="FA650" s="93"/>
      <c r="FB650" s="93"/>
      <c r="FC650" s="93"/>
      <c r="FD650" s="93"/>
      <c r="FE650" s="93"/>
      <c r="FF650" s="93"/>
    </row>
    <row r="651" spans="1:162" ht="15.75" customHeight="1">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c r="CC651" s="93"/>
      <c r="CD651" s="93"/>
      <c r="CE651" s="93"/>
      <c r="CF651" s="93"/>
      <c r="CG651" s="93"/>
      <c r="CH651" s="93"/>
      <c r="CI651" s="93"/>
      <c r="CJ651" s="93"/>
      <c r="CK651" s="93"/>
      <c r="CL651" s="93"/>
      <c r="CM651" s="93"/>
      <c r="CN651" s="93"/>
      <c r="CO651" s="93"/>
      <c r="CP651" s="93"/>
      <c r="CQ651" s="93"/>
      <c r="CR651" s="93"/>
      <c r="CS651" s="93"/>
      <c r="CT651" s="93"/>
      <c r="CU651" s="93"/>
      <c r="CV651" s="93"/>
      <c r="CW651" s="93"/>
      <c r="CX651" s="93"/>
      <c r="CY651" s="93"/>
      <c r="CZ651" s="93"/>
      <c r="DA651" s="93"/>
      <c r="DB651" s="93"/>
      <c r="DC651" s="93"/>
      <c r="DD651" s="93"/>
      <c r="DE651" s="93"/>
      <c r="DF651" s="93"/>
      <c r="DG651" s="93"/>
      <c r="DH651" s="93"/>
      <c r="DI651" s="93"/>
      <c r="DJ651" s="93"/>
      <c r="DK651" s="93"/>
      <c r="DL651" s="93"/>
      <c r="DM651" s="93"/>
      <c r="DN651" s="93"/>
      <c r="DO651" s="93"/>
      <c r="DP651" s="93"/>
      <c r="DQ651" s="93"/>
      <c r="DR651" s="93"/>
      <c r="DS651" s="93"/>
      <c r="DT651" s="93"/>
      <c r="DU651" s="93"/>
      <c r="DV651" s="93"/>
      <c r="DW651" s="93"/>
      <c r="DX651" s="93"/>
      <c r="DY651" s="93"/>
      <c r="DZ651" s="93"/>
      <c r="EA651" s="93"/>
      <c r="EB651" s="93"/>
      <c r="EC651" s="93"/>
      <c r="ED651" s="93"/>
      <c r="EE651" s="93"/>
      <c r="EF651" s="93"/>
      <c r="EG651" s="93"/>
      <c r="EH651" s="93"/>
      <c r="EI651" s="93"/>
      <c r="EJ651" s="93"/>
      <c r="EK651" s="93"/>
      <c r="EL651" s="93"/>
      <c r="EM651" s="93"/>
      <c r="EN651" s="93"/>
      <c r="EO651" s="93"/>
      <c r="EP651" s="93"/>
      <c r="EQ651" s="93"/>
      <c r="ER651" s="93"/>
      <c r="ES651" s="93"/>
      <c r="ET651" s="93"/>
      <c r="EU651" s="93"/>
      <c r="EV651" s="93"/>
      <c r="EW651" s="93"/>
      <c r="EX651" s="93"/>
      <c r="EY651" s="93"/>
      <c r="EZ651" s="93"/>
      <c r="FA651" s="93"/>
      <c r="FB651" s="93"/>
      <c r="FC651" s="93"/>
      <c r="FD651" s="93"/>
      <c r="FE651" s="93"/>
      <c r="FF651" s="93"/>
    </row>
    <row r="652" spans="1:162" ht="15.75" customHeight="1">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c r="CC652" s="93"/>
      <c r="CD652" s="93"/>
      <c r="CE652" s="93"/>
      <c r="CF652" s="93"/>
      <c r="CG652" s="93"/>
      <c r="CH652" s="93"/>
      <c r="CI652" s="93"/>
      <c r="CJ652" s="93"/>
      <c r="CK652" s="93"/>
      <c r="CL652" s="93"/>
      <c r="CM652" s="93"/>
      <c r="CN652" s="93"/>
      <c r="CO652" s="93"/>
      <c r="CP652" s="93"/>
      <c r="CQ652" s="93"/>
      <c r="CR652" s="93"/>
      <c r="CS652" s="93"/>
      <c r="CT652" s="93"/>
      <c r="CU652" s="93"/>
      <c r="CV652" s="93"/>
      <c r="CW652" s="93"/>
      <c r="CX652" s="93"/>
      <c r="CY652" s="93"/>
      <c r="CZ652" s="93"/>
      <c r="DA652" s="93"/>
      <c r="DB652" s="93"/>
      <c r="DC652" s="93"/>
      <c r="DD652" s="93"/>
      <c r="DE652" s="93"/>
      <c r="DF652" s="93"/>
      <c r="DG652" s="93"/>
      <c r="DH652" s="93"/>
      <c r="DI652" s="93"/>
      <c r="DJ652" s="93"/>
      <c r="DK652" s="93"/>
      <c r="DL652" s="93"/>
      <c r="DM652" s="93"/>
      <c r="DN652" s="93"/>
      <c r="DO652" s="93"/>
      <c r="DP652" s="93"/>
      <c r="DQ652" s="93"/>
      <c r="DR652" s="93"/>
      <c r="DS652" s="93"/>
      <c r="DT652" s="93"/>
      <c r="DU652" s="93"/>
      <c r="DV652" s="93"/>
      <c r="DW652" s="93"/>
      <c r="DX652" s="93"/>
      <c r="DY652" s="93"/>
      <c r="DZ652" s="93"/>
      <c r="EA652" s="93"/>
      <c r="EB652" s="93"/>
      <c r="EC652" s="93"/>
      <c r="ED652" s="93"/>
      <c r="EE652" s="93"/>
      <c r="EF652" s="93"/>
      <c r="EG652" s="93"/>
      <c r="EH652" s="93"/>
      <c r="EI652" s="93"/>
      <c r="EJ652" s="93"/>
      <c r="EK652" s="93"/>
      <c r="EL652" s="93"/>
      <c r="EM652" s="93"/>
      <c r="EN652" s="93"/>
      <c r="EO652" s="93"/>
      <c r="EP652" s="93"/>
      <c r="EQ652" s="93"/>
      <c r="ER652" s="93"/>
      <c r="ES652" s="93"/>
      <c r="ET652" s="93"/>
      <c r="EU652" s="93"/>
      <c r="EV652" s="93"/>
      <c r="EW652" s="93"/>
      <c r="EX652" s="93"/>
      <c r="EY652" s="93"/>
      <c r="EZ652" s="93"/>
      <c r="FA652" s="93"/>
      <c r="FB652" s="93"/>
      <c r="FC652" s="93"/>
      <c r="FD652" s="93"/>
      <c r="FE652" s="93"/>
      <c r="FF652" s="93"/>
    </row>
    <row r="653" spans="1:162" ht="15.75" customHeight="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c r="CM653" s="93"/>
      <c r="CN653" s="93"/>
      <c r="CO653" s="93"/>
      <c r="CP653" s="93"/>
      <c r="CQ653" s="93"/>
      <c r="CR653" s="93"/>
      <c r="CS653" s="93"/>
      <c r="CT653" s="93"/>
      <c r="CU653" s="93"/>
      <c r="CV653" s="93"/>
      <c r="CW653" s="93"/>
      <c r="CX653" s="93"/>
      <c r="CY653" s="93"/>
      <c r="CZ653" s="93"/>
      <c r="DA653" s="93"/>
      <c r="DB653" s="93"/>
      <c r="DC653" s="93"/>
      <c r="DD653" s="93"/>
      <c r="DE653" s="93"/>
      <c r="DF653" s="93"/>
      <c r="DG653" s="93"/>
      <c r="DH653" s="93"/>
      <c r="DI653" s="93"/>
      <c r="DJ653" s="93"/>
      <c r="DK653" s="93"/>
      <c r="DL653" s="93"/>
      <c r="DM653" s="93"/>
      <c r="DN653" s="93"/>
      <c r="DO653" s="93"/>
      <c r="DP653" s="93"/>
      <c r="DQ653" s="93"/>
      <c r="DR653" s="93"/>
      <c r="DS653" s="93"/>
      <c r="DT653" s="93"/>
      <c r="DU653" s="93"/>
      <c r="DV653" s="93"/>
      <c r="DW653" s="93"/>
      <c r="DX653" s="93"/>
      <c r="DY653" s="93"/>
      <c r="DZ653" s="93"/>
      <c r="EA653" s="93"/>
      <c r="EB653" s="93"/>
      <c r="EC653" s="93"/>
      <c r="ED653" s="93"/>
      <c r="EE653" s="93"/>
      <c r="EF653" s="93"/>
      <c r="EG653" s="93"/>
      <c r="EH653" s="93"/>
      <c r="EI653" s="93"/>
      <c r="EJ653" s="93"/>
      <c r="EK653" s="93"/>
      <c r="EL653" s="93"/>
      <c r="EM653" s="93"/>
      <c r="EN653" s="93"/>
      <c r="EO653" s="93"/>
      <c r="EP653" s="93"/>
      <c r="EQ653" s="93"/>
      <c r="ER653" s="93"/>
      <c r="ES653" s="93"/>
      <c r="ET653" s="93"/>
      <c r="EU653" s="93"/>
      <c r="EV653" s="93"/>
      <c r="EW653" s="93"/>
      <c r="EX653" s="93"/>
      <c r="EY653" s="93"/>
      <c r="EZ653" s="93"/>
      <c r="FA653" s="93"/>
      <c r="FB653" s="93"/>
      <c r="FC653" s="93"/>
      <c r="FD653" s="93"/>
      <c r="FE653" s="93"/>
      <c r="FF653" s="93"/>
    </row>
    <row r="654" spans="1:162" ht="15.75" customHeight="1">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c r="CC654" s="93"/>
      <c r="CD654" s="93"/>
      <c r="CE654" s="93"/>
      <c r="CF654" s="93"/>
      <c r="CG654" s="93"/>
      <c r="CH654" s="93"/>
      <c r="CI654" s="93"/>
      <c r="CJ654" s="93"/>
      <c r="CK654" s="93"/>
      <c r="CL654" s="93"/>
      <c r="CM654" s="93"/>
      <c r="CN654" s="93"/>
      <c r="CO654" s="93"/>
      <c r="CP654" s="93"/>
      <c r="CQ654" s="93"/>
      <c r="CR654" s="93"/>
      <c r="CS654" s="93"/>
      <c r="CT654" s="93"/>
      <c r="CU654" s="93"/>
      <c r="CV654" s="93"/>
      <c r="CW654" s="93"/>
      <c r="CX654" s="93"/>
      <c r="CY654" s="93"/>
      <c r="CZ654" s="93"/>
      <c r="DA654" s="93"/>
      <c r="DB654" s="93"/>
      <c r="DC654" s="93"/>
      <c r="DD654" s="93"/>
      <c r="DE654" s="93"/>
      <c r="DF654" s="93"/>
      <c r="DG654" s="93"/>
      <c r="DH654" s="93"/>
      <c r="DI654" s="93"/>
      <c r="DJ654" s="93"/>
      <c r="DK654" s="93"/>
      <c r="DL654" s="93"/>
      <c r="DM654" s="93"/>
      <c r="DN654" s="93"/>
      <c r="DO654" s="93"/>
      <c r="DP654" s="93"/>
      <c r="DQ654" s="93"/>
      <c r="DR654" s="93"/>
      <c r="DS654" s="93"/>
      <c r="DT654" s="93"/>
      <c r="DU654" s="93"/>
      <c r="DV654" s="93"/>
      <c r="DW654" s="93"/>
      <c r="DX654" s="93"/>
      <c r="DY654" s="93"/>
      <c r="DZ654" s="93"/>
      <c r="EA654" s="93"/>
      <c r="EB654" s="93"/>
      <c r="EC654" s="93"/>
      <c r="ED654" s="93"/>
      <c r="EE654" s="93"/>
      <c r="EF654" s="93"/>
      <c r="EG654" s="93"/>
      <c r="EH654" s="93"/>
      <c r="EI654" s="93"/>
      <c r="EJ654" s="93"/>
      <c r="EK654" s="93"/>
      <c r="EL654" s="93"/>
      <c r="EM654" s="93"/>
      <c r="EN654" s="93"/>
      <c r="EO654" s="93"/>
      <c r="EP654" s="93"/>
      <c r="EQ654" s="93"/>
      <c r="ER654" s="93"/>
      <c r="ES654" s="93"/>
      <c r="ET654" s="93"/>
      <c r="EU654" s="93"/>
      <c r="EV654" s="93"/>
      <c r="EW654" s="93"/>
      <c r="EX654" s="93"/>
      <c r="EY654" s="93"/>
      <c r="EZ654" s="93"/>
      <c r="FA654" s="93"/>
      <c r="FB654" s="93"/>
      <c r="FC654" s="93"/>
      <c r="FD654" s="93"/>
      <c r="FE654" s="93"/>
      <c r="FF654" s="93"/>
    </row>
    <row r="655" spans="1:162" ht="15.75" customHeight="1">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c r="CC655" s="93"/>
      <c r="CD655" s="93"/>
      <c r="CE655" s="93"/>
      <c r="CF655" s="93"/>
      <c r="CG655" s="93"/>
      <c r="CH655" s="93"/>
      <c r="CI655" s="93"/>
      <c r="CJ655" s="93"/>
      <c r="CK655" s="93"/>
      <c r="CL655" s="93"/>
      <c r="CM655" s="93"/>
      <c r="CN655" s="93"/>
      <c r="CO655" s="93"/>
      <c r="CP655" s="93"/>
      <c r="CQ655" s="93"/>
      <c r="CR655" s="93"/>
      <c r="CS655" s="93"/>
      <c r="CT655" s="93"/>
      <c r="CU655" s="93"/>
      <c r="CV655" s="93"/>
      <c r="CW655" s="93"/>
      <c r="CX655" s="93"/>
      <c r="CY655" s="93"/>
      <c r="CZ655" s="93"/>
      <c r="DA655" s="93"/>
      <c r="DB655" s="93"/>
      <c r="DC655" s="93"/>
      <c r="DD655" s="93"/>
      <c r="DE655" s="93"/>
      <c r="DF655" s="93"/>
      <c r="DG655" s="93"/>
      <c r="DH655" s="93"/>
      <c r="DI655" s="93"/>
      <c r="DJ655" s="93"/>
      <c r="DK655" s="93"/>
      <c r="DL655" s="93"/>
      <c r="DM655" s="93"/>
      <c r="DN655" s="93"/>
      <c r="DO655" s="93"/>
      <c r="DP655" s="93"/>
      <c r="DQ655" s="93"/>
      <c r="DR655" s="93"/>
      <c r="DS655" s="93"/>
      <c r="DT655" s="93"/>
      <c r="DU655" s="93"/>
      <c r="DV655" s="93"/>
      <c r="DW655" s="93"/>
      <c r="DX655" s="93"/>
      <c r="DY655" s="93"/>
      <c r="DZ655" s="93"/>
      <c r="EA655" s="93"/>
      <c r="EB655" s="93"/>
      <c r="EC655" s="93"/>
      <c r="ED655" s="93"/>
      <c r="EE655" s="93"/>
      <c r="EF655" s="93"/>
      <c r="EG655" s="93"/>
      <c r="EH655" s="93"/>
      <c r="EI655" s="93"/>
      <c r="EJ655" s="93"/>
      <c r="EK655" s="93"/>
      <c r="EL655" s="93"/>
      <c r="EM655" s="93"/>
      <c r="EN655" s="93"/>
      <c r="EO655" s="93"/>
      <c r="EP655" s="93"/>
      <c r="EQ655" s="93"/>
      <c r="ER655" s="93"/>
      <c r="ES655" s="93"/>
      <c r="ET655" s="93"/>
      <c r="EU655" s="93"/>
      <c r="EV655" s="93"/>
      <c r="EW655" s="93"/>
      <c r="EX655" s="93"/>
      <c r="EY655" s="93"/>
      <c r="EZ655" s="93"/>
      <c r="FA655" s="93"/>
      <c r="FB655" s="93"/>
      <c r="FC655" s="93"/>
      <c r="FD655" s="93"/>
      <c r="FE655" s="93"/>
      <c r="FF655" s="93"/>
    </row>
    <row r="656" spans="1:162" ht="15.75" customHeight="1">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c r="CM656" s="93"/>
      <c r="CN656" s="93"/>
      <c r="CO656" s="93"/>
      <c r="CP656" s="93"/>
      <c r="CQ656" s="93"/>
      <c r="CR656" s="93"/>
      <c r="CS656" s="93"/>
      <c r="CT656" s="93"/>
      <c r="CU656" s="93"/>
      <c r="CV656" s="93"/>
      <c r="CW656" s="93"/>
      <c r="CX656" s="93"/>
      <c r="CY656" s="93"/>
      <c r="CZ656" s="93"/>
      <c r="DA656" s="93"/>
      <c r="DB656" s="93"/>
      <c r="DC656" s="93"/>
      <c r="DD656" s="93"/>
      <c r="DE656" s="93"/>
      <c r="DF656" s="93"/>
      <c r="DG656" s="93"/>
      <c r="DH656" s="93"/>
      <c r="DI656" s="93"/>
      <c r="DJ656" s="93"/>
      <c r="DK656" s="93"/>
      <c r="DL656" s="93"/>
      <c r="DM656" s="93"/>
      <c r="DN656" s="93"/>
      <c r="DO656" s="93"/>
      <c r="DP656" s="93"/>
      <c r="DQ656" s="93"/>
      <c r="DR656" s="93"/>
      <c r="DS656" s="93"/>
      <c r="DT656" s="93"/>
      <c r="DU656" s="93"/>
      <c r="DV656" s="93"/>
      <c r="DW656" s="93"/>
      <c r="DX656" s="93"/>
      <c r="DY656" s="93"/>
      <c r="DZ656" s="93"/>
      <c r="EA656" s="93"/>
      <c r="EB656" s="93"/>
      <c r="EC656" s="93"/>
      <c r="ED656" s="93"/>
      <c r="EE656" s="93"/>
      <c r="EF656" s="93"/>
      <c r="EG656" s="93"/>
      <c r="EH656" s="93"/>
      <c r="EI656" s="93"/>
      <c r="EJ656" s="93"/>
      <c r="EK656" s="93"/>
      <c r="EL656" s="93"/>
      <c r="EM656" s="93"/>
      <c r="EN656" s="93"/>
      <c r="EO656" s="93"/>
      <c r="EP656" s="93"/>
      <c r="EQ656" s="93"/>
      <c r="ER656" s="93"/>
      <c r="ES656" s="93"/>
      <c r="ET656" s="93"/>
      <c r="EU656" s="93"/>
      <c r="EV656" s="93"/>
      <c r="EW656" s="93"/>
      <c r="EX656" s="93"/>
      <c r="EY656" s="93"/>
      <c r="EZ656" s="93"/>
      <c r="FA656" s="93"/>
      <c r="FB656" s="93"/>
      <c r="FC656" s="93"/>
      <c r="FD656" s="93"/>
      <c r="FE656" s="93"/>
      <c r="FF656" s="93"/>
    </row>
    <row r="657" spans="1:162" ht="15.75" customHeight="1">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c r="CC657" s="93"/>
      <c r="CD657" s="93"/>
      <c r="CE657" s="93"/>
      <c r="CF657" s="93"/>
      <c r="CG657" s="93"/>
      <c r="CH657" s="93"/>
      <c r="CI657" s="93"/>
      <c r="CJ657" s="93"/>
      <c r="CK657" s="93"/>
      <c r="CL657" s="93"/>
      <c r="CM657" s="93"/>
      <c r="CN657" s="93"/>
      <c r="CO657" s="93"/>
      <c r="CP657" s="93"/>
      <c r="CQ657" s="93"/>
      <c r="CR657" s="93"/>
      <c r="CS657" s="93"/>
      <c r="CT657" s="93"/>
      <c r="CU657" s="93"/>
      <c r="CV657" s="93"/>
      <c r="CW657" s="93"/>
      <c r="CX657" s="93"/>
      <c r="CY657" s="93"/>
      <c r="CZ657" s="93"/>
      <c r="DA657" s="93"/>
      <c r="DB657" s="93"/>
      <c r="DC657" s="93"/>
      <c r="DD657" s="93"/>
      <c r="DE657" s="93"/>
      <c r="DF657" s="93"/>
      <c r="DG657" s="93"/>
      <c r="DH657" s="93"/>
      <c r="DI657" s="93"/>
      <c r="DJ657" s="93"/>
      <c r="DK657" s="93"/>
      <c r="DL657" s="93"/>
      <c r="DM657" s="93"/>
      <c r="DN657" s="93"/>
      <c r="DO657" s="93"/>
      <c r="DP657" s="93"/>
      <c r="DQ657" s="93"/>
      <c r="DR657" s="93"/>
      <c r="DS657" s="93"/>
      <c r="DT657" s="93"/>
      <c r="DU657" s="93"/>
      <c r="DV657" s="93"/>
      <c r="DW657" s="93"/>
      <c r="DX657" s="93"/>
      <c r="DY657" s="93"/>
      <c r="DZ657" s="93"/>
      <c r="EA657" s="93"/>
      <c r="EB657" s="93"/>
      <c r="EC657" s="93"/>
      <c r="ED657" s="93"/>
      <c r="EE657" s="93"/>
      <c r="EF657" s="93"/>
      <c r="EG657" s="93"/>
      <c r="EH657" s="93"/>
      <c r="EI657" s="93"/>
      <c r="EJ657" s="93"/>
      <c r="EK657" s="93"/>
      <c r="EL657" s="93"/>
      <c r="EM657" s="93"/>
      <c r="EN657" s="93"/>
      <c r="EO657" s="93"/>
      <c r="EP657" s="93"/>
      <c r="EQ657" s="93"/>
      <c r="ER657" s="93"/>
      <c r="ES657" s="93"/>
      <c r="ET657" s="93"/>
      <c r="EU657" s="93"/>
      <c r="EV657" s="93"/>
      <c r="EW657" s="93"/>
      <c r="EX657" s="93"/>
      <c r="EY657" s="93"/>
      <c r="EZ657" s="93"/>
      <c r="FA657" s="93"/>
      <c r="FB657" s="93"/>
      <c r="FC657" s="93"/>
      <c r="FD657" s="93"/>
      <c r="FE657" s="93"/>
      <c r="FF657" s="93"/>
    </row>
    <row r="658" spans="1:162" ht="15.75" customHeight="1">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c r="CC658" s="93"/>
      <c r="CD658" s="93"/>
      <c r="CE658" s="93"/>
      <c r="CF658" s="93"/>
      <c r="CG658" s="93"/>
      <c r="CH658" s="93"/>
      <c r="CI658" s="93"/>
      <c r="CJ658" s="93"/>
      <c r="CK658" s="93"/>
      <c r="CL658" s="93"/>
      <c r="CM658" s="93"/>
      <c r="CN658" s="93"/>
      <c r="CO658" s="93"/>
      <c r="CP658" s="93"/>
      <c r="CQ658" s="93"/>
      <c r="CR658" s="93"/>
      <c r="CS658" s="93"/>
      <c r="CT658" s="93"/>
      <c r="CU658" s="93"/>
      <c r="CV658" s="93"/>
      <c r="CW658" s="93"/>
      <c r="CX658" s="93"/>
      <c r="CY658" s="93"/>
      <c r="CZ658" s="93"/>
      <c r="DA658" s="93"/>
      <c r="DB658" s="93"/>
      <c r="DC658" s="93"/>
      <c r="DD658" s="93"/>
      <c r="DE658" s="93"/>
      <c r="DF658" s="93"/>
      <c r="DG658" s="93"/>
      <c r="DH658" s="93"/>
      <c r="DI658" s="93"/>
      <c r="DJ658" s="93"/>
      <c r="DK658" s="93"/>
      <c r="DL658" s="93"/>
      <c r="DM658" s="93"/>
      <c r="DN658" s="93"/>
      <c r="DO658" s="93"/>
      <c r="DP658" s="93"/>
      <c r="DQ658" s="93"/>
      <c r="DR658" s="93"/>
      <c r="DS658" s="93"/>
      <c r="DT658" s="93"/>
      <c r="DU658" s="93"/>
      <c r="DV658" s="93"/>
      <c r="DW658" s="93"/>
      <c r="DX658" s="93"/>
      <c r="DY658" s="93"/>
      <c r="DZ658" s="93"/>
      <c r="EA658" s="93"/>
      <c r="EB658" s="93"/>
      <c r="EC658" s="93"/>
      <c r="ED658" s="93"/>
      <c r="EE658" s="93"/>
      <c r="EF658" s="93"/>
      <c r="EG658" s="93"/>
      <c r="EH658" s="93"/>
      <c r="EI658" s="93"/>
      <c r="EJ658" s="93"/>
      <c r="EK658" s="93"/>
      <c r="EL658" s="93"/>
      <c r="EM658" s="93"/>
      <c r="EN658" s="93"/>
      <c r="EO658" s="93"/>
      <c r="EP658" s="93"/>
      <c r="EQ658" s="93"/>
      <c r="ER658" s="93"/>
      <c r="ES658" s="93"/>
      <c r="ET658" s="93"/>
      <c r="EU658" s="93"/>
      <c r="EV658" s="93"/>
      <c r="EW658" s="93"/>
      <c r="EX658" s="93"/>
      <c r="EY658" s="93"/>
      <c r="EZ658" s="93"/>
      <c r="FA658" s="93"/>
      <c r="FB658" s="93"/>
      <c r="FC658" s="93"/>
      <c r="FD658" s="93"/>
      <c r="FE658" s="93"/>
      <c r="FF658" s="93"/>
    </row>
    <row r="659" spans="1:162" ht="15.75" customHeight="1">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row>
    <row r="660" spans="1:162" ht="15.75" customHeight="1">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row>
    <row r="661" spans="1:162" ht="15.75" customHeight="1">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c r="CM661" s="93"/>
      <c r="CN661" s="93"/>
      <c r="CO661" s="93"/>
      <c r="CP661" s="93"/>
      <c r="CQ661" s="93"/>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93"/>
      <c r="DV661" s="93"/>
      <c r="DW661" s="93"/>
      <c r="DX661" s="93"/>
      <c r="DY661" s="93"/>
      <c r="DZ661" s="93"/>
      <c r="EA661" s="93"/>
      <c r="EB661" s="93"/>
      <c r="EC661" s="93"/>
      <c r="ED661" s="93"/>
      <c r="EE661" s="93"/>
      <c r="EF661" s="93"/>
      <c r="EG661" s="93"/>
      <c r="EH661" s="93"/>
      <c r="EI661" s="93"/>
      <c r="EJ661" s="93"/>
      <c r="EK661" s="93"/>
      <c r="EL661" s="93"/>
      <c r="EM661" s="93"/>
      <c r="EN661" s="93"/>
      <c r="EO661" s="93"/>
      <c r="EP661" s="93"/>
      <c r="EQ661" s="93"/>
      <c r="ER661" s="93"/>
      <c r="ES661" s="93"/>
      <c r="ET661" s="93"/>
      <c r="EU661" s="93"/>
      <c r="EV661" s="93"/>
      <c r="EW661" s="93"/>
      <c r="EX661" s="93"/>
      <c r="EY661" s="93"/>
      <c r="EZ661" s="93"/>
      <c r="FA661" s="93"/>
      <c r="FB661" s="93"/>
      <c r="FC661" s="93"/>
      <c r="FD661" s="93"/>
      <c r="FE661" s="93"/>
      <c r="FF661" s="93"/>
    </row>
    <row r="662" spans="1:162" ht="15.75" customHeight="1">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c r="CC662" s="93"/>
      <c r="CD662" s="93"/>
      <c r="CE662" s="93"/>
      <c r="CF662" s="93"/>
      <c r="CG662" s="93"/>
      <c r="CH662" s="93"/>
      <c r="CI662" s="93"/>
      <c r="CJ662" s="93"/>
      <c r="CK662" s="93"/>
      <c r="CL662" s="93"/>
      <c r="CM662" s="93"/>
      <c r="CN662" s="93"/>
      <c r="CO662" s="93"/>
      <c r="CP662" s="93"/>
      <c r="CQ662" s="93"/>
      <c r="CR662" s="93"/>
      <c r="CS662" s="93"/>
      <c r="CT662" s="93"/>
      <c r="CU662" s="93"/>
      <c r="CV662" s="93"/>
      <c r="CW662" s="93"/>
      <c r="CX662" s="93"/>
      <c r="CY662" s="93"/>
      <c r="CZ662" s="93"/>
      <c r="DA662" s="93"/>
      <c r="DB662" s="93"/>
      <c r="DC662" s="93"/>
      <c r="DD662" s="93"/>
      <c r="DE662" s="93"/>
      <c r="DF662" s="93"/>
      <c r="DG662" s="93"/>
      <c r="DH662" s="93"/>
      <c r="DI662" s="93"/>
      <c r="DJ662" s="93"/>
      <c r="DK662" s="93"/>
      <c r="DL662" s="93"/>
      <c r="DM662" s="93"/>
      <c r="DN662" s="93"/>
      <c r="DO662" s="93"/>
      <c r="DP662" s="93"/>
      <c r="DQ662" s="93"/>
      <c r="DR662" s="93"/>
      <c r="DS662" s="93"/>
      <c r="DT662" s="93"/>
      <c r="DU662" s="93"/>
      <c r="DV662" s="93"/>
      <c r="DW662" s="93"/>
      <c r="DX662" s="93"/>
      <c r="DY662" s="93"/>
      <c r="DZ662" s="93"/>
      <c r="EA662" s="93"/>
      <c r="EB662" s="93"/>
      <c r="EC662" s="93"/>
      <c r="ED662" s="93"/>
      <c r="EE662" s="93"/>
      <c r="EF662" s="93"/>
      <c r="EG662" s="93"/>
      <c r="EH662" s="93"/>
      <c r="EI662" s="93"/>
      <c r="EJ662" s="93"/>
      <c r="EK662" s="93"/>
      <c r="EL662" s="93"/>
      <c r="EM662" s="93"/>
      <c r="EN662" s="93"/>
      <c r="EO662" s="93"/>
      <c r="EP662" s="93"/>
      <c r="EQ662" s="93"/>
      <c r="ER662" s="93"/>
      <c r="ES662" s="93"/>
      <c r="ET662" s="93"/>
      <c r="EU662" s="93"/>
      <c r="EV662" s="93"/>
      <c r="EW662" s="93"/>
      <c r="EX662" s="93"/>
      <c r="EY662" s="93"/>
      <c r="EZ662" s="93"/>
      <c r="FA662" s="93"/>
      <c r="FB662" s="93"/>
      <c r="FC662" s="93"/>
      <c r="FD662" s="93"/>
      <c r="FE662" s="93"/>
      <c r="FF662" s="93"/>
    </row>
    <row r="663" spans="1:162" ht="15.75" customHeight="1">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c r="CC663" s="93"/>
      <c r="CD663" s="93"/>
      <c r="CE663" s="93"/>
      <c r="CF663" s="93"/>
      <c r="CG663" s="93"/>
      <c r="CH663" s="93"/>
      <c r="CI663" s="93"/>
      <c r="CJ663" s="93"/>
      <c r="CK663" s="93"/>
      <c r="CL663" s="93"/>
      <c r="CM663" s="93"/>
      <c r="CN663" s="93"/>
      <c r="CO663" s="93"/>
      <c r="CP663" s="93"/>
      <c r="CQ663" s="93"/>
      <c r="CR663" s="93"/>
      <c r="CS663" s="93"/>
      <c r="CT663" s="93"/>
      <c r="CU663" s="93"/>
      <c r="CV663" s="93"/>
      <c r="CW663" s="93"/>
      <c r="CX663" s="93"/>
      <c r="CY663" s="93"/>
      <c r="CZ663" s="93"/>
      <c r="DA663" s="93"/>
      <c r="DB663" s="93"/>
      <c r="DC663" s="93"/>
      <c r="DD663" s="93"/>
      <c r="DE663" s="93"/>
      <c r="DF663" s="93"/>
      <c r="DG663" s="93"/>
      <c r="DH663" s="93"/>
      <c r="DI663" s="93"/>
      <c r="DJ663" s="93"/>
      <c r="DK663" s="93"/>
      <c r="DL663" s="93"/>
      <c r="DM663" s="93"/>
      <c r="DN663" s="93"/>
      <c r="DO663" s="93"/>
      <c r="DP663" s="93"/>
      <c r="DQ663" s="93"/>
      <c r="DR663" s="93"/>
      <c r="DS663" s="93"/>
      <c r="DT663" s="93"/>
      <c r="DU663" s="93"/>
      <c r="DV663" s="93"/>
      <c r="DW663" s="93"/>
      <c r="DX663" s="93"/>
      <c r="DY663" s="93"/>
      <c r="DZ663" s="93"/>
      <c r="EA663" s="93"/>
      <c r="EB663" s="93"/>
      <c r="EC663" s="93"/>
      <c r="ED663" s="93"/>
      <c r="EE663" s="93"/>
      <c r="EF663" s="93"/>
      <c r="EG663" s="93"/>
      <c r="EH663" s="93"/>
      <c r="EI663" s="93"/>
      <c r="EJ663" s="93"/>
      <c r="EK663" s="93"/>
      <c r="EL663" s="93"/>
      <c r="EM663" s="93"/>
      <c r="EN663" s="93"/>
      <c r="EO663" s="93"/>
      <c r="EP663" s="93"/>
      <c r="EQ663" s="93"/>
      <c r="ER663" s="93"/>
      <c r="ES663" s="93"/>
      <c r="ET663" s="93"/>
      <c r="EU663" s="93"/>
      <c r="EV663" s="93"/>
      <c r="EW663" s="93"/>
      <c r="EX663" s="93"/>
      <c r="EY663" s="93"/>
      <c r="EZ663" s="93"/>
      <c r="FA663" s="93"/>
      <c r="FB663" s="93"/>
      <c r="FC663" s="93"/>
      <c r="FD663" s="93"/>
      <c r="FE663" s="93"/>
      <c r="FF663" s="93"/>
    </row>
    <row r="664" spans="1:162" ht="15.75" customHeight="1">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c r="CC664" s="93"/>
      <c r="CD664" s="93"/>
      <c r="CE664" s="93"/>
      <c r="CF664" s="93"/>
      <c r="CG664" s="93"/>
      <c r="CH664" s="93"/>
      <c r="CI664" s="93"/>
      <c r="CJ664" s="93"/>
      <c r="CK664" s="93"/>
      <c r="CL664" s="93"/>
      <c r="CM664" s="93"/>
      <c r="CN664" s="93"/>
      <c r="CO664" s="93"/>
      <c r="CP664" s="93"/>
      <c r="CQ664" s="93"/>
      <c r="CR664" s="93"/>
      <c r="CS664" s="93"/>
      <c r="CT664" s="93"/>
      <c r="CU664" s="93"/>
      <c r="CV664" s="93"/>
      <c r="CW664" s="93"/>
      <c r="CX664" s="93"/>
      <c r="CY664" s="93"/>
      <c r="CZ664" s="93"/>
      <c r="DA664" s="93"/>
      <c r="DB664" s="93"/>
      <c r="DC664" s="93"/>
      <c r="DD664" s="93"/>
      <c r="DE664" s="93"/>
      <c r="DF664" s="93"/>
      <c r="DG664" s="93"/>
      <c r="DH664" s="93"/>
      <c r="DI664" s="93"/>
      <c r="DJ664" s="93"/>
      <c r="DK664" s="93"/>
      <c r="DL664" s="93"/>
      <c r="DM664" s="93"/>
      <c r="DN664" s="93"/>
      <c r="DO664" s="93"/>
      <c r="DP664" s="93"/>
      <c r="DQ664" s="93"/>
      <c r="DR664" s="93"/>
      <c r="DS664" s="93"/>
      <c r="DT664" s="93"/>
      <c r="DU664" s="93"/>
      <c r="DV664" s="93"/>
      <c r="DW664" s="93"/>
      <c r="DX664" s="93"/>
      <c r="DY664" s="93"/>
      <c r="DZ664" s="93"/>
      <c r="EA664" s="93"/>
      <c r="EB664" s="93"/>
      <c r="EC664" s="93"/>
      <c r="ED664" s="93"/>
      <c r="EE664" s="93"/>
      <c r="EF664" s="93"/>
      <c r="EG664" s="93"/>
      <c r="EH664" s="93"/>
      <c r="EI664" s="93"/>
      <c r="EJ664" s="93"/>
      <c r="EK664" s="93"/>
      <c r="EL664" s="93"/>
      <c r="EM664" s="93"/>
      <c r="EN664" s="93"/>
      <c r="EO664" s="93"/>
      <c r="EP664" s="93"/>
      <c r="EQ664" s="93"/>
      <c r="ER664" s="93"/>
      <c r="ES664" s="93"/>
      <c r="ET664" s="93"/>
      <c r="EU664" s="93"/>
      <c r="EV664" s="93"/>
      <c r="EW664" s="93"/>
      <c r="EX664" s="93"/>
      <c r="EY664" s="93"/>
      <c r="EZ664" s="93"/>
      <c r="FA664" s="93"/>
      <c r="FB664" s="93"/>
      <c r="FC664" s="93"/>
      <c r="FD664" s="93"/>
      <c r="FE664" s="93"/>
      <c r="FF664" s="93"/>
    </row>
    <row r="665" spans="1:162" ht="15.75" customHeight="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c r="CM665" s="93"/>
      <c r="CN665" s="93"/>
      <c r="CO665" s="93"/>
      <c r="CP665" s="93"/>
      <c r="CQ665" s="93"/>
      <c r="CR665" s="93"/>
      <c r="CS665" s="93"/>
      <c r="CT665" s="93"/>
      <c r="CU665" s="93"/>
      <c r="CV665" s="93"/>
      <c r="CW665" s="93"/>
      <c r="CX665" s="93"/>
      <c r="CY665" s="93"/>
      <c r="CZ665" s="93"/>
      <c r="DA665" s="93"/>
      <c r="DB665" s="93"/>
      <c r="DC665" s="93"/>
      <c r="DD665" s="93"/>
      <c r="DE665" s="93"/>
      <c r="DF665" s="93"/>
      <c r="DG665" s="93"/>
      <c r="DH665" s="93"/>
      <c r="DI665" s="93"/>
      <c r="DJ665" s="93"/>
      <c r="DK665" s="93"/>
      <c r="DL665" s="93"/>
      <c r="DM665" s="93"/>
      <c r="DN665" s="93"/>
      <c r="DO665" s="93"/>
      <c r="DP665" s="93"/>
      <c r="DQ665" s="93"/>
      <c r="DR665" s="93"/>
      <c r="DS665" s="93"/>
      <c r="DT665" s="93"/>
      <c r="DU665" s="93"/>
      <c r="DV665" s="93"/>
      <c r="DW665" s="93"/>
      <c r="DX665" s="93"/>
      <c r="DY665" s="93"/>
      <c r="DZ665" s="93"/>
      <c r="EA665" s="93"/>
      <c r="EB665" s="93"/>
      <c r="EC665" s="93"/>
      <c r="ED665" s="93"/>
      <c r="EE665" s="93"/>
      <c r="EF665" s="93"/>
      <c r="EG665" s="93"/>
      <c r="EH665" s="93"/>
      <c r="EI665" s="93"/>
      <c r="EJ665" s="93"/>
      <c r="EK665" s="93"/>
      <c r="EL665" s="93"/>
      <c r="EM665" s="93"/>
      <c r="EN665" s="93"/>
      <c r="EO665" s="93"/>
      <c r="EP665" s="93"/>
      <c r="EQ665" s="93"/>
      <c r="ER665" s="93"/>
      <c r="ES665" s="93"/>
      <c r="ET665" s="93"/>
      <c r="EU665" s="93"/>
      <c r="EV665" s="93"/>
      <c r="EW665" s="93"/>
      <c r="EX665" s="93"/>
      <c r="EY665" s="93"/>
      <c r="EZ665" s="93"/>
      <c r="FA665" s="93"/>
      <c r="FB665" s="93"/>
      <c r="FC665" s="93"/>
      <c r="FD665" s="93"/>
      <c r="FE665" s="93"/>
      <c r="FF665" s="93"/>
    </row>
    <row r="666" spans="1:162" ht="15.75" customHeight="1">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c r="CC666" s="93"/>
      <c r="CD666" s="93"/>
      <c r="CE666" s="93"/>
      <c r="CF666" s="93"/>
      <c r="CG666" s="93"/>
      <c r="CH666" s="93"/>
      <c r="CI666" s="93"/>
      <c r="CJ666" s="93"/>
      <c r="CK666" s="93"/>
      <c r="CL666" s="93"/>
      <c r="CM666" s="93"/>
      <c r="CN666" s="93"/>
      <c r="CO666" s="93"/>
      <c r="CP666" s="93"/>
      <c r="CQ666" s="93"/>
      <c r="CR666" s="93"/>
      <c r="CS666" s="93"/>
      <c r="CT666" s="93"/>
      <c r="CU666" s="93"/>
      <c r="CV666" s="93"/>
      <c r="CW666" s="93"/>
      <c r="CX666" s="93"/>
      <c r="CY666" s="93"/>
      <c r="CZ666" s="93"/>
      <c r="DA666" s="93"/>
      <c r="DB666" s="93"/>
      <c r="DC666" s="93"/>
      <c r="DD666" s="93"/>
      <c r="DE666" s="93"/>
      <c r="DF666" s="93"/>
      <c r="DG666" s="93"/>
      <c r="DH666" s="93"/>
      <c r="DI666" s="93"/>
      <c r="DJ666" s="93"/>
      <c r="DK666" s="93"/>
      <c r="DL666" s="93"/>
      <c r="DM666" s="93"/>
      <c r="DN666" s="93"/>
      <c r="DO666" s="93"/>
      <c r="DP666" s="93"/>
      <c r="DQ666" s="93"/>
      <c r="DR666" s="93"/>
      <c r="DS666" s="93"/>
      <c r="DT666" s="93"/>
      <c r="DU666" s="93"/>
      <c r="DV666" s="93"/>
      <c r="DW666" s="93"/>
      <c r="DX666" s="93"/>
      <c r="DY666" s="93"/>
      <c r="DZ666" s="93"/>
      <c r="EA666" s="93"/>
      <c r="EB666" s="93"/>
      <c r="EC666" s="93"/>
      <c r="ED666" s="93"/>
      <c r="EE666" s="93"/>
      <c r="EF666" s="93"/>
      <c r="EG666" s="93"/>
      <c r="EH666" s="93"/>
      <c r="EI666" s="93"/>
      <c r="EJ666" s="93"/>
      <c r="EK666" s="93"/>
      <c r="EL666" s="93"/>
      <c r="EM666" s="93"/>
      <c r="EN666" s="93"/>
      <c r="EO666" s="93"/>
      <c r="EP666" s="93"/>
      <c r="EQ666" s="93"/>
      <c r="ER666" s="93"/>
      <c r="ES666" s="93"/>
      <c r="ET666" s="93"/>
      <c r="EU666" s="93"/>
      <c r="EV666" s="93"/>
      <c r="EW666" s="93"/>
      <c r="EX666" s="93"/>
      <c r="EY666" s="93"/>
      <c r="EZ666" s="93"/>
      <c r="FA666" s="93"/>
      <c r="FB666" s="93"/>
      <c r="FC666" s="93"/>
      <c r="FD666" s="93"/>
      <c r="FE666" s="93"/>
      <c r="FF666" s="93"/>
    </row>
    <row r="667" spans="1:162" ht="15.75" customHeight="1">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c r="CM667" s="93"/>
      <c r="CN667" s="93"/>
      <c r="CO667" s="93"/>
      <c r="CP667" s="93"/>
      <c r="CQ667" s="93"/>
      <c r="CR667" s="93"/>
      <c r="CS667" s="93"/>
      <c r="CT667" s="93"/>
      <c r="CU667" s="93"/>
      <c r="CV667" s="93"/>
      <c r="CW667" s="93"/>
      <c r="CX667" s="93"/>
      <c r="CY667" s="93"/>
      <c r="CZ667" s="93"/>
      <c r="DA667" s="93"/>
      <c r="DB667" s="93"/>
      <c r="DC667" s="93"/>
      <c r="DD667" s="93"/>
      <c r="DE667" s="93"/>
      <c r="DF667" s="93"/>
      <c r="DG667" s="93"/>
      <c r="DH667" s="93"/>
      <c r="DI667" s="93"/>
      <c r="DJ667" s="93"/>
      <c r="DK667" s="93"/>
      <c r="DL667" s="93"/>
      <c r="DM667" s="93"/>
      <c r="DN667" s="93"/>
      <c r="DO667" s="93"/>
      <c r="DP667" s="93"/>
      <c r="DQ667" s="93"/>
      <c r="DR667" s="93"/>
      <c r="DS667" s="93"/>
      <c r="DT667" s="93"/>
      <c r="DU667" s="93"/>
      <c r="DV667" s="93"/>
      <c r="DW667" s="93"/>
      <c r="DX667" s="93"/>
      <c r="DY667" s="93"/>
      <c r="DZ667" s="93"/>
      <c r="EA667" s="93"/>
      <c r="EB667" s="93"/>
      <c r="EC667" s="93"/>
      <c r="ED667" s="93"/>
      <c r="EE667" s="93"/>
      <c r="EF667" s="93"/>
      <c r="EG667" s="93"/>
      <c r="EH667" s="93"/>
      <c r="EI667" s="93"/>
      <c r="EJ667" s="93"/>
      <c r="EK667" s="93"/>
      <c r="EL667" s="93"/>
      <c r="EM667" s="93"/>
      <c r="EN667" s="93"/>
      <c r="EO667" s="93"/>
      <c r="EP667" s="93"/>
      <c r="EQ667" s="93"/>
      <c r="ER667" s="93"/>
      <c r="ES667" s="93"/>
      <c r="ET667" s="93"/>
      <c r="EU667" s="93"/>
      <c r="EV667" s="93"/>
      <c r="EW667" s="93"/>
      <c r="EX667" s="93"/>
      <c r="EY667" s="93"/>
      <c r="EZ667" s="93"/>
      <c r="FA667" s="93"/>
      <c r="FB667" s="93"/>
      <c r="FC667" s="93"/>
      <c r="FD667" s="93"/>
      <c r="FE667" s="93"/>
      <c r="FF667" s="93"/>
    </row>
    <row r="668" spans="1:162" ht="15.75" customHeight="1">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c r="CM668" s="93"/>
      <c r="CN668" s="93"/>
      <c r="CO668" s="93"/>
      <c r="CP668" s="93"/>
      <c r="CQ668" s="93"/>
      <c r="CR668" s="93"/>
      <c r="CS668" s="93"/>
      <c r="CT668" s="93"/>
      <c r="CU668" s="93"/>
      <c r="CV668" s="93"/>
      <c r="CW668" s="93"/>
      <c r="CX668" s="93"/>
      <c r="CY668" s="93"/>
      <c r="CZ668" s="93"/>
      <c r="DA668" s="93"/>
      <c r="DB668" s="93"/>
      <c r="DC668" s="93"/>
      <c r="DD668" s="93"/>
      <c r="DE668" s="93"/>
      <c r="DF668" s="93"/>
      <c r="DG668" s="93"/>
      <c r="DH668" s="93"/>
      <c r="DI668" s="93"/>
      <c r="DJ668" s="93"/>
      <c r="DK668" s="93"/>
      <c r="DL668" s="93"/>
      <c r="DM668" s="93"/>
      <c r="DN668" s="93"/>
      <c r="DO668" s="93"/>
      <c r="DP668" s="93"/>
      <c r="DQ668" s="93"/>
      <c r="DR668" s="93"/>
      <c r="DS668" s="93"/>
      <c r="DT668" s="93"/>
      <c r="DU668" s="93"/>
      <c r="DV668" s="93"/>
      <c r="DW668" s="93"/>
      <c r="DX668" s="93"/>
      <c r="DY668" s="93"/>
      <c r="DZ668" s="93"/>
      <c r="EA668" s="93"/>
      <c r="EB668" s="93"/>
      <c r="EC668" s="93"/>
      <c r="ED668" s="93"/>
      <c r="EE668" s="93"/>
      <c r="EF668" s="93"/>
      <c r="EG668" s="93"/>
      <c r="EH668" s="93"/>
      <c r="EI668" s="93"/>
      <c r="EJ668" s="93"/>
      <c r="EK668" s="93"/>
      <c r="EL668" s="93"/>
      <c r="EM668" s="93"/>
      <c r="EN668" s="93"/>
      <c r="EO668" s="93"/>
      <c r="EP668" s="93"/>
      <c r="EQ668" s="93"/>
      <c r="ER668" s="93"/>
      <c r="ES668" s="93"/>
      <c r="ET668" s="93"/>
      <c r="EU668" s="93"/>
      <c r="EV668" s="93"/>
      <c r="EW668" s="93"/>
      <c r="EX668" s="93"/>
      <c r="EY668" s="93"/>
      <c r="EZ668" s="93"/>
      <c r="FA668" s="93"/>
      <c r="FB668" s="93"/>
      <c r="FC668" s="93"/>
      <c r="FD668" s="93"/>
      <c r="FE668" s="93"/>
      <c r="FF668" s="93"/>
    </row>
    <row r="669" spans="1:162" ht="15.75" customHeight="1">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c r="CM669" s="93"/>
      <c r="CN669" s="93"/>
      <c r="CO669" s="93"/>
      <c r="CP669" s="93"/>
      <c r="CQ669" s="93"/>
      <c r="CR669" s="93"/>
      <c r="CS669" s="93"/>
      <c r="CT669" s="93"/>
      <c r="CU669" s="93"/>
      <c r="CV669" s="93"/>
      <c r="CW669" s="93"/>
      <c r="CX669" s="93"/>
      <c r="CY669" s="93"/>
      <c r="CZ669" s="93"/>
      <c r="DA669" s="93"/>
      <c r="DB669" s="93"/>
      <c r="DC669" s="93"/>
      <c r="DD669" s="93"/>
      <c r="DE669" s="93"/>
      <c r="DF669" s="93"/>
      <c r="DG669" s="93"/>
      <c r="DH669" s="93"/>
      <c r="DI669" s="93"/>
      <c r="DJ669" s="93"/>
      <c r="DK669" s="93"/>
      <c r="DL669" s="93"/>
      <c r="DM669" s="93"/>
      <c r="DN669" s="93"/>
      <c r="DO669" s="93"/>
      <c r="DP669" s="93"/>
      <c r="DQ669" s="93"/>
      <c r="DR669" s="93"/>
      <c r="DS669" s="93"/>
      <c r="DT669" s="93"/>
      <c r="DU669" s="93"/>
      <c r="DV669" s="93"/>
      <c r="DW669" s="93"/>
      <c r="DX669" s="93"/>
      <c r="DY669" s="93"/>
      <c r="DZ669" s="93"/>
      <c r="EA669" s="93"/>
      <c r="EB669" s="93"/>
      <c r="EC669" s="93"/>
      <c r="ED669" s="93"/>
      <c r="EE669" s="93"/>
      <c r="EF669" s="93"/>
      <c r="EG669" s="93"/>
      <c r="EH669" s="93"/>
      <c r="EI669" s="93"/>
      <c r="EJ669" s="93"/>
      <c r="EK669" s="93"/>
      <c r="EL669" s="93"/>
      <c r="EM669" s="93"/>
      <c r="EN669" s="93"/>
      <c r="EO669" s="93"/>
      <c r="EP669" s="93"/>
      <c r="EQ669" s="93"/>
      <c r="ER669" s="93"/>
      <c r="ES669" s="93"/>
      <c r="ET669" s="93"/>
      <c r="EU669" s="93"/>
      <c r="EV669" s="93"/>
      <c r="EW669" s="93"/>
      <c r="EX669" s="93"/>
      <c r="EY669" s="93"/>
      <c r="EZ669" s="93"/>
      <c r="FA669" s="93"/>
      <c r="FB669" s="93"/>
      <c r="FC669" s="93"/>
      <c r="FD669" s="93"/>
      <c r="FE669" s="93"/>
      <c r="FF669" s="93"/>
    </row>
    <row r="670" spans="1:162" ht="15.75" customHeight="1">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c r="CM670" s="93"/>
      <c r="CN670" s="93"/>
      <c r="CO670" s="93"/>
      <c r="CP670" s="93"/>
      <c r="CQ670" s="93"/>
      <c r="CR670" s="93"/>
      <c r="CS670" s="93"/>
      <c r="CT670" s="93"/>
      <c r="CU670" s="93"/>
      <c r="CV670" s="93"/>
      <c r="CW670" s="93"/>
      <c r="CX670" s="93"/>
      <c r="CY670" s="93"/>
      <c r="CZ670" s="93"/>
      <c r="DA670" s="93"/>
      <c r="DB670" s="93"/>
      <c r="DC670" s="93"/>
      <c r="DD670" s="93"/>
      <c r="DE670" s="93"/>
      <c r="DF670" s="93"/>
      <c r="DG670" s="93"/>
      <c r="DH670" s="93"/>
      <c r="DI670" s="93"/>
      <c r="DJ670" s="93"/>
      <c r="DK670" s="93"/>
      <c r="DL670" s="93"/>
      <c r="DM670" s="93"/>
      <c r="DN670" s="93"/>
      <c r="DO670" s="93"/>
      <c r="DP670" s="93"/>
      <c r="DQ670" s="93"/>
      <c r="DR670" s="93"/>
      <c r="DS670" s="93"/>
      <c r="DT670" s="93"/>
      <c r="DU670" s="93"/>
      <c r="DV670" s="93"/>
      <c r="DW670" s="93"/>
      <c r="DX670" s="93"/>
      <c r="DY670" s="93"/>
      <c r="DZ670" s="93"/>
      <c r="EA670" s="93"/>
      <c r="EB670" s="93"/>
      <c r="EC670" s="93"/>
      <c r="ED670" s="93"/>
      <c r="EE670" s="93"/>
      <c r="EF670" s="93"/>
      <c r="EG670" s="93"/>
      <c r="EH670" s="93"/>
      <c r="EI670" s="93"/>
      <c r="EJ670" s="93"/>
      <c r="EK670" s="93"/>
      <c r="EL670" s="93"/>
      <c r="EM670" s="93"/>
      <c r="EN670" s="93"/>
      <c r="EO670" s="93"/>
      <c r="EP670" s="93"/>
      <c r="EQ670" s="93"/>
      <c r="ER670" s="93"/>
      <c r="ES670" s="93"/>
      <c r="ET670" s="93"/>
      <c r="EU670" s="93"/>
      <c r="EV670" s="93"/>
      <c r="EW670" s="93"/>
      <c r="EX670" s="93"/>
      <c r="EY670" s="93"/>
      <c r="EZ670" s="93"/>
      <c r="FA670" s="93"/>
      <c r="FB670" s="93"/>
      <c r="FC670" s="93"/>
      <c r="FD670" s="93"/>
      <c r="FE670" s="93"/>
      <c r="FF670" s="93"/>
    </row>
    <row r="671" spans="1:162" ht="15.75" customHeight="1">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c r="CM671" s="93"/>
      <c r="CN671" s="93"/>
      <c r="CO671" s="93"/>
      <c r="CP671" s="93"/>
      <c r="CQ671" s="93"/>
      <c r="CR671" s="93"/>
      <c r="CS671" s="93"/>
      <c r="CT671" s="93"/>
      <c r="CU671" s="93"/>
      <c r="CV671" s="93"/>
      <c r="CW671" s="93"/>
      <c r="CX671" s="93"/>
      <c r="CY671" s="93"/>
      <c r="CZ671" s="93"/>
      <c r="DA671" s="93"/>
      <c r="DB671" s="93"/>
      <c r="DC671" s="93"/>
      <c r="DD671" s="93"/>
      <c r="DE671" s="93"/>
      <c r="DF671" s="93"/>
      <c r="DG671" s="93"/>
      <c r="DH671" s="93"/>
      <c r="DI671" s="93"/>
      <c r="DJ671" s="93"/>
      <c r="DK671" s="93"/>
      <c r="DL671" s="93"/>
      <c r="DM671" s="93"/>
      <c r="DN671" s="93"/>
      <c r="DO671" s="93"/>
      <c r="DP671" s="93"/>
      <c r="DQ671" s="93"/>
      <c r="DR671" s="93"/>
      <c r="DS671" s="93"/>
      <c r="DT671" s="93"/>
      <c r="DU671" s="93"/>
      <c r="DV671" s="93"/>
      <c r="DW671" s="93"/>
      <c r="DX671" s="93"/>
      <c r="DY671" s="93"/>
      <c r="DZ671" s="93"/>
      <c r="EA671" s="93"/>
      <c r="EB671" s="93"/>
      <c r="EC671" s="93"/>
      <c r="ED671" s="93"/>
      <c r="EE671" s="93"/>
      <c r="EF671" s="93"/>
      <c r="EG671" s="93"/>
      <c r="EH671" s="93"/>
      <c r="EI671" s="93"/>
      <c r="EJ671" s="93"/>
      <c r="EK671" s="93"/>
      <c r="EL671" s="93"/>
      <c r="EM671" s="93"/>
      <c r="EN671" s="93"/>
      <c r="EO671" s="93"/>
      <c r="EP671" s="93"/>
      <c r="EQ671" s="93"/>
      <c r="ER671" s="93"/>
      <c r="ES671" s="93"/>
      <c r="ET671" s="93"/>
      <c r="EU671" s="93"/>
      <c r="EV671" s="93"/>
      <c r="EW671" s="93"/>
      <c r="EX671" s="93"/>
      <c r="EY671" s="93"/>
      <c r="EZ671" s="93"/>
      <c r="FA671" s="93"/>
      <c r="FB671" s="93"/>
      <c r="FC671" s="93"/>
      <c r="FD671" s="93"/>
      <c r="FE671" s="93"/>
      <c r="FF671" s="93"/>
    </row>
    <row r="672" spans="1:162" ht="15.75" customHeight="1">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c r="CM672" s="93"/>
      <c r="CN672" s="93"/>
      <c r="CO672" s="93"/>
      <c r="CP672" s="93"/>
      <c r="CQ672" s="93"/>
      <c r="CR672" s="93"/>
      <c r="CS672" s="93"/>
      <c r="CT672" s="93"/>
      <c r="CU672" s="93"/>
      <c r="CV672" s="93"/>
      <c r="CW672" s="93"/>
      <c r="CX672" s="93"/>
      <c r="CY672" s="93"/>
      <c r="CZ672" s="93"/>
      <c r="DA672" s="93"/>
      <c r="DB672" s="93"/>
      <c r="DC672" s="93"/>
      <c r="DD672" s="93"/>
      <c r="DE672" s="93"/>
      <c r="DF672" s="93"/>
      <c r="DG672" s="93"/>
      <c r="DH672" s="93"/>
      <c r="DI672" s="93"/>
      <c r="DJ672" s="93"/>
      <c r="DK672" s="93"/>
      <c r="DL672" s="93"/>
      <c r="DM672" s="93"/>
      <c r="DN672" s="93"/>
      <c r="DO672" s="93"/>
      <c r="DP672" s="93"/>
      <c r="DQ672" s="93"/>
      <c r="DR672" s="93"/>
      <c r="DS672" s="93"/>
      <c r="DT672" s="93"/>
      <c r="DU672" s="93"/>
      <c r="DV672" s="93"/>
      <c r="DW672" s="93"/>
      <c r="DX672" s="93"/>
      <c r="DY672" s="93"/>
      <c r="DZ672" s="93"/>
      <c r="EA672" s="93"/>
      <c r="EB672" s="93"/>
      <c r="EC672" s="93"/>
      <c r="ED672" s="93"/>
      <c r="EE672" s="93"/>
      <c r="EF672" s="93"/>
      <c r="EG672" s="93"/>
      <c r="EH672" s="93"/>
      <c r="EI672" s="93"/>
      <c r="EJ672" s="93"/>
      <c r="EK672" s="93"/>
      <c r="EL672" s="93"/>
      <c r="EM672" s="93"/>
      <c r="EN672" s="93"/>
      <c r="EO672" s="93"/>
      <c r="EP672" s="93"/>
      <c r="EQ672" s="93"/>
      <c r="ER672" s="93"/>
      <c r="ES672" s="93"/>
      <c r="ET672" s="93"/>
      <c r="EU672" s="93"/>
      <c r="EV672" s="93"/>
      <c r="EW672" s="93"/>
      <c r="EX672" s="93"/>
      <c r="EY672" s="93"/>
      <c r="EZ672" s="93"/>
      <c r="FA672" s="93"/>
      <c r="FB672" s="93"/>
      <c r="FC672" s="93"/>
      <c r="FD672" s="93"/>
      <c r="FE672" s="93"/>
      <c r="FF672" s="93"/>
    </row>
    <row r="673" spans="1:162" ht="15.75" customHeight="1">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row>
    <row r="674" spans="1:162" ht="15.75" customHeight="1">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row>
    <row r="675" spans="1:162" ht="15.75" customHeight="1">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c r="CM675" s="93"/>
      <c r="CN675" s="93"/>
      <c r="CO675" s="93"/>
      <c r="CP675" s="93"/>
      <c r="CQ675" s="93"/>
      <c r="CR675" s="93"/>
      <c r="CS675" s="93"/>
      <c r="CT675" s="93"/>
      <c r="CU675" s="93"/>
      <c r="CV675" s="93"/>
      <c r="CW675" s="93"/>
      <c r="CX675" s="93"/>
      <c r="CY675" s="93"/>
      <c r="CZ675" s="93"/>
      <c r="DA675" s="93"/>
      <c r="DB675" s="93"/>
      <c r="DC675" s="93"/>
      <c r="DD675" s="93"/>
      <c r="DE675" s="93"/>
      <c r="DF675" s="93"/>
      <c r="DG675" s="93"/>
      <c r="DH675" s="93"/>
      <c r="DI675" s="93"/>
      <c r="DJ675" s="93"/>
      <c r="DK675" s="93"/>
      <c r="DL675" s="93"/>
      <c r="DM675" s="93"/>
      <c r="DN675" s="93"/>
      <c r="DO675" s="93"/>
      <c r="DP675" s="93"/>
      <c r="DQ675" s="93"/>
      <c r="DR675" s="93"/>
      <c r="DS675" s="93"/>
      <c r="DT675" s="93"/>
      <c r="DU675" s="93"/>
      <c r="DV675" s="93"/>
      <c r="DW675" s="93"/>
      <c r="DX675" s="93"/>
      <c r="DY675" s="93"/>
      <c r="DZ675" s="93"/>
      <c r="EA675" s="93"/>
      <c r="EB675" s="93"/>
      <c r="EC675" s="93"/>
      <c r="ED675" s="93"/>
      <c r="EE675" s="93"/>
      <c r="EF675" s="93"/>
      <c r="EG675" s="93"/>
      <c r="EH675" s="93"/>
      <c r="EI675" s="93"/>
      <c r="EJ675" s="93"/>
      <c r="EK675" s="93"/>
      <c r="EL675" s="93"/>
      <c r="EM675" s="93"/>
      <c r="EN675" s="93"/>
      <c r="EO675" s="93"/>
      <c r="EP675" s="93"/>
      <c r="EQ675" s="93"/>
      <c r="ER675" s="93"/>
      <c r="ES675" s="93"/>
      <c r="ET675" s="93"/>
      <c r="EU675" s="93"/>
      <c r="EV675" s="93"/>
      <c r="EW675" s="93"/>
      <c r="EX675" s="93"/>
      <c r="EY675" s="93"/>
      <c r="EZ675" s="93"/>
      <c r="FA675" s="93"/>
      <c r="FB675" s="93"/>
      <c r="FC675" s="93"/>
      <c r="FD675" s="93"/>
      <c r="FE675" s="93"/>
      <c r="FF675" s="93"/>
    </row>
    <row r="676" spans="1:162" ht="15.75" customHeight="1">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row>
    <row r="677" spans="1:162" ht="15.75" customHeight="1">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row>
    <row r="678" spans="1:162" ht="15.75" customHeight="1">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row>
    <row r="679" spans="1:162" ht="15.75" customHeight="1">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row>
    <row r="680" spans="1:162" ht="15.75" customHeight="1">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c r="CM680" s="93"/>
      <c r="CN680" s="93"/>
      <c r="CO680" s="93"/>
      <c r="CP680" s="93"/>
      <c r="CQ680" s="93"/>
      <c r="CR680" s="93"/>
      <c r="CS680" s="93"/>
      <c r="CT680" s="93"/>
      <c r="CU680" s="93"/>
      <c r="CV680" s="93"/>
      <c r="CW680" s="93"/>
      <c r="CX680" s="93"/>
      <c r="CY680" s="93"/>
      <c r="CZ680" s="93"/>
      <c r="DA680" s="93"/>
      <c r="DB680" s="93"/>
      <c r="DC680" s="93"/>
      <c r="DD680" s="93"/>
      <c r="DE680" s="93"/>
      <c r="DF680" s="93"/>
      <c r="DG680" s="93"/>
      <c r="DH680" s="93"/>
      <c r="DI680" s="93"/>
      <c r="DJ680" s="93"/>
      <c r="DK680" s="93"/>
      <c r="DL680" s="93"/>
      <c r="DM680" s="93"/>
      <c r="DN680" s="93"/>
      <c r="DO680" s="93"/>
      <c r="DP680" s="93"/>
      <c r="DQ680" s="93"/>
      <c r="DR680" s="93"/>
      <c r="DS680" s="93"/>
      <c r="DT680" s="93"/>
      <c r="DU680" s="93"/>
      <c r="DV680" s="93"/>
      <c r="DW680" s="93"/>
      <c r="DX680" s="93"/>
      <c r="DY680" s="93"/>
      <c r="DZ680" s="93"/>
      <c r="EA680" s="93"/>
      <c r="EB680" s="93"/>
      <c r="EC680" s="93"/>
      <c r="ED680" s="93"/>
      <c r="EE680" s="93"/>
      <c r="EF680" s="93"/>
      <c r="EG680" s="93"/>
      <c r="EH680" s="93"/>
      <c r="EI680" s="93"/>
      <c r="EJ680" s="93"/>
      <c r="EK680" s="93"/>
      <c r="EL680" s="93"/>
      <c r="EM680" s="93"/>
      <c r="EN680" s="93"/>
      <c r="EO680" s="93"/>
      <c r="EP680" s="93"/>
      <c r="EQ680" s="93"/>
      <c r="ER680" s="93"/>
      <c r="ES680" s="93"/>
      <c r="ET680" s="93"/>
      <c r="EU680" s="93"/>
      <c r="EV680" s="93"/>
      <c r="EW680" s="93"/>
      <c r="EX680" s="93"/>
      <c r="EY680" s="93"/>
      <c r="EZ680" s="93"/>
      <c r="FA680" s="93"/>
      <c r="FB680" s="93"/>
      <c r="FC680" s="93"/>
      <c r="FD680" s="93"/>
      <c r="FE680" s="93"/>
      <c r="FF680" s="93"/>
    </row>
    <row r="681" spans="1:162" ht="15.75" customHeight="1">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3"/>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93"/>
      <c r="EJ681" s="93"/>
      <c r="EK681" s="93"/>
      <c r="EL681" s="93"/>
      <c r="EM681" s="93"/>
      <c r="EN681" s="93"/>
      <c r="EO681" s="93"/>
      <c r="EP681" s="93"/>
      <c r="EQ681" s="93"/>
      <c r="ER681" s="93"/>
      <c r="ES681" s="93"/>
      <c r="ET681" s="93"/>
      <c r="EU681" s="93"/>
      <c r="EV681" s="93"/>
      <c r="EW681" s="93"/>
      <c r="EX681" s="93"/>
      <c r="EY681" s="93"/>
      <c r="EZ681" s="93"/>
      <c r="FA681" s="93"/>
      <c r="FB681" s="93"/>
      <c r="FC681" s="93"/>
      <c r="FD681" s="93"/>
      <c r="FE681" s="93"/>
      <c r="FF681" s="93"/>
    </row>
    <row r="682" spans="1:162" ht="15.75" customHeight="1">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93"/>
      <c r="DH682" s="93"/>
      <c r="DI682" s="93"/>
      <c r="DJ682" s="93"/>
      <c r="DK682" s="93"/>
      <c r="DL682" s="93"/>
      <c r="DM682" s="93"/>
      <c r="DN682" s="93"/>
      <c r="DO682" s="93"/>
      <c r="DP682" s="93"/>
      <c r="DQ682" s="93"/>
      <c r="DR682" s="93"/>
      <c r="DS682" s="93"/>
      <c r="DT682" s="93"/>
      <c r="DU682" s="93"/>
      <c r="DV682" s="93"/>
      <c r="DW682" s="93"/>
      <c r="DX682" s="93"/>
      <c r="DY682" s="93"/>
      <c r="DZ682" s="93"/>
      <c r="EA682" s="93"/>
      <c r="EB682" s="93"/>
      <c r="EC682" s="93"/>
      <c r="ED682" s="93"/>
      <c r="EE682" s="93"/>
      <c r="EF682" s="93"/>
      <c r="EG682" s="93"/>
      <c r="EH682" s="93"/>
      <c r="EI682" s="93"/>
      <c r="EJ682" s="93"/>
      <c r="EK682" s="93"/>
      <c r="EL682" s="93"/>
      <c r="EM682" s="93"/>
      <c r="EN682" s="93"/>
      <c r="EO682" s="93"/>
      <c r="EP682" s="93"/>
      <c r="EQ682" s="93"/>
      <c r="ER682" s="93"/>
      <c r="ES682" s="93"/>
      <c r="ET682" s="93"/>
      <c r="EU682" s="93"/>
      <c r="EV682" s="93"/>
      <c r="EW682" s="93"/>
      <c r="EX682" s="93"/>
      <c r="EY682" s="93"/>
      <c r="EZ682" s="93"/>
      <c r="FA682" s="93"/>
      <c r="FB682" s="93"/>
      <c r="FC682" s="93"/>
      <c r="FD682" s="93"/>
      <c r="FE682" s="93"/>
      <c r="FF682" s="93"/>
    </row>
    <row r="683" spans="1:162" ht="15.75" customHeight="1">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c r="CM683" s="93"/>
      <c r="CN683" s="93"/>
      <c r="CO683" s="93"/>
      <c r="CP683" s="93"/>
      <c r="CQ683" s="93"/>
      <c r="CR683" s="93"/>
      <c r="CS683" s="93"/>
      <c r="CT683" s="93"/>
      <c r="CU683" s="93"/>
      <c r="CV683" s="93"/>
      <c r="CW683" s="93"/>
      <c r="CX683" s="93"/>
      <c r="CY683" s="93"/>
      <c r="CZ683" s="93"/>
      <c r="DA683" s="93"/>
      <c r="DB683" s="93"/>
      <c r="DC683" s="93"/>
      <c r="DD683" s="93"/>
      <c r="DE683" s="93"/>
      <c r="DF683" s="93"/>
      <c r="DG683" s="93"/>
      <c r="DH683" s="93"/>
      <c r="DI683" s="93"/>
      <c r="DJ683" s="93"/>
      <c r="DK683" s="93"/>
      <c r="DL683" s="93"/>
      <c r="DM683" s="93"/>
      <c r="DN683" s="93"/>
      <c r="DO683" s="93"/>
      <c r="DP683" s="93"/>
      <c r="DQ683" s="93"/>
      <c r="DR683" s="93"/>
      <c r="DS683" s="93"/>
      <c r="DT683" s="93"/>
      <c r="DU683" s="93"/>
      <c r="DV683" s="93"/>
      <c r="DW683" s="93"/>
      <c r="DX683" s="93"/>
      <c r="DY683" s="93"/>
      <c r="DZ683" s="93"/>
      <c r="EA683" s="93"/>
      <c r="EB683" s="93"/>
      <c r="EC683" s="93"/>
      <c r="ED683" s="93"/>
      <c r="EE683" s="93"/>
      <c r="EF683" s="93"/>
      <c r="EG683" s="93"/>
      <c r="EH683" s="93"/>
      <c r="EI683" s="93"/>
      <c r="EJ683" s="93"/>
      <c r="EK683" s="93"/>
      <c r="EL683" s="93"/>
      <c r="EM683" s="93"/>
      <c r="EN683" s="93"/>
      <c r="EO683" s="93"/>
      <c r="EP683" s="93"/>
      <c r="EQ683" s="93"/>
      <c r="ER683" s="93"/>
      <c r="ES683" s="93"/>
      <c r="ET683" s="93"/>
      <c r="EU683" s="93"/>
      <c r="EV683" s="93"/>
      <c r="EW683" s="93"/>
      <c r="EX683" s="93"/>
      <c r="EY683" s="93"/>
      <c r="EZ683" s="93"/>
      <c r="FA683" s="93"/>
      <c r="FB683" s="93"/>
      <c r="FC683" s="93"/>
      <c r="FD683" s="93"/>
      <c r="FE683" s="93"/>
      <c r="FF683" s="93"/>
    </row>
    <row r="684" spans="1:162" ht="15.75" customHeight="1">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c r="CM684" s="93"/>
      <c r="CN684" s="93"/>
      <c r="CO684" s="93"/>
      <c r="CP684" s="93"/>
      <c r="CQ684" s="93"/>
      <c r="CR684" s="93"/>
      <c r="CS684" s="93"/>
      <c r="CT684" s="93"/>
      <c r="CU684" s="93"/>
      <c r="CV684" s="93"/>
      <c r="CW684" s="93"/>
      <c r="CX684" s="93"/>
      <c r="CY684" s="93"/>
      <c r="CZ684" s="93"/>
      <c r="DA684" s="93"/>
      <c r="DB684" s="93"/>
      <c r="DC684" s="93"/>
      <c r="DD684" s="93"/>
      <c r="DE684" s="93"/>
      <c r="DF684" s="93"/>
      <c r="DG684" s="93"/>
      <c r="DH684" s="93"/>
      <c r="DI684" s="93"/>
      <c r="DJ684" s="93"/>
      <c r="DK684" s="93"/>
      <c r="DL684" s="93"/>
      <c r="DM684" s="93"/>
      <c r="DN684" s="93"/>
      <c r="DO684" s="93"/>
      <c r="DP684" s="93"/>
      <c r="DQ684" s="93"/>
      <c r="DR684" s="93"/>
      <c r="DS684" s="93"/>
      <c r="DT684" s="93"/>
      <c r="DU684" s="93"/>
      <c r="DV684" s="93"/>
      <c r="DW684" s="93"/>
      <c r="DX684" s="93"/>
      <c r="DY684" s="93"/>
      <c r="DZ684" s="93"/>
      <c r="EA684" s="93"/>
      <c r="EB684" s="93"/>
      <c r="EC684" s="93"/>
      <c r="ED684" s="93"/>
      <c r="EE684" s="93"/>
      <c r="EF684" s="93"/>
      <c r="EG684" s="93"/>
      <c r="EH684" s="93"/>
      <c r="EI684" s="93"/>
      <c r="EJ684" s="93"/>
      <c r="EK684" s="93"/>
      <c r="EL684" s="93"/>
      <c r="EM684" s="93"/>
      <c r="EN684" s="93"/>
      <c r="EO684" s="93"/>
      <c r="EP684" s="93"/>
      <c r="EQ684" s="93"/>
      <c r="ER684" s="93"/>
      <c r="ES684" s="93"/>
      <c r="ET684" s="93"/>
      <c r="EU684" s="93"/>
      <c r="EV684" s="93"/>
      <c r="EW684" s="93"/>
      <c r="EX684" s="93"/>
      <c r="EY684" s="93"/>
      <c r="EZ684" s="93"/>
      <c r="FA684" s="93"/>
      <c r="FB684" s="93"/>
      <c r="FC684" s="93"/>
      <c r="FD684" s="93"/>
      <c r="FE684" s="93"/>
      <c r="FF684" s="93"/>
    </row>
    <row r="685" spans="1:162" ht="15.75" customHeight="1">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c r="CM685" s="93"/>
      <c r="CN685" s="93"/>
      <c r="CO685" s="93"/>
      <c r="CP685" s="93"/>
      <c r="CQ685" s="93"/>
      <c r="CR685" s="93"/>
      <c r="CS685" s="93"/>
      <c r="CT685" s="93"/>
      <c r="CU685" s="93"/>
      <c r="CV685" s="93"/>
      <c r="CW685" s="93"/>
      <c r="CX685" s="93"/>
      <c r="CY685" s="93"/>
      <c r="CZ685" s="93"/>
      <c r="DA685" s="93"/>
      <c r="DB685" s="93"/>
      <c r="DC685" s="93"/>
      <c r="DD685" s="93"/>
      <c r="DE685" s="93"/>
      <c r="DF685" s="93"/>
      <c r="DG685" s="93"/>
      <c r="DH685" s="93"/>
      <c r="DI685" s="93"/>
      <c r="DJ685" s="93"/>
      <c r="DK685" s="93"/>
      <c r="DL685" s="93"/>
      <c r="DM685" s="93"/>
      <c r="DN685" s="93"/>
      <c r="DO685" s="93"/>
      <c r="DP685" s="93"/>
      <c r="DQ685" s="93"/>
      <c r="DR685" s="93"/>
      <c r="DS685" s="93"/>
      <c r="DT685" s="93"/>
      <c r="DU685" s="93"/>
      <c r="DV685" s="93"/>
      <c r="DW685" s="93"/>
      <c r="DX685" s="93"/>
      <c r="DY685" s="93"/>
      <c r="DZ685" s="93"/>
      <c r="EA685" s="93"/>
      <c r="EB685" s="93"/>
      <c r="EC685" s="93"/>
      <c r="ED685" s="93"/>
      <c r="EE685" s="93"/>
      <c r="EF685" s="93"/>
      <c r="EG685" s="93"/>
      <c r="EH685" s="93"/>
      <c r="EI685" s="93"/>
      <c r="EJ685" s="93"/>
      <c r="EK685" s="93"/>
      <c r="EL685" s="93"/>
      <c r="EM685" s="93"/>
      <c r="EN685" s="93"/>
      <c r="EO685" s="93"/>
      <c r="EP685" s="93"/>
      <c r="EQ685" s="93"/>
      <c r="ER685" s="93"/>
      <c r="ES685" s="93"/>
      <c r="ET685" s="93"/>
      <c r="EU685" s="93"/>
      <c r="EV685" s="93"/>
      <c r="EW685" s="93"/>
      <c r="EX685" s="93"/>
      <c r="EY685" s="93"/>
      <c r="EZ685" s="93"/>
      <c r="FA685" s="93"/>
      <c r="FB685" s="93"/>
      <c r="FC685" s="93"/>
      <c r="FD685" s="93"/>
      <c r="FE685" s="93"/>
      <c r="FF685" s="93"/>
    </row>
    <row r="686" spans="1:162" ht="15.75" customHeight="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c r="CM686" s="93"/>
      <c r="CN686" s="93"/>
      <c r="CO686" s="93"/>
      <c r="CP686" s="93"/>
      <c r="CQ686" s="93"/>
      <c r="CR686" s="93"/>
      <c r="CS686" s="93"/>
      <c r="CT686" s="93"/>
      <c r="CU686" s="93"/>
      <c r="CV686" s="93"/>
      <c r="CW686" s="93"/>
      <c r="CX686" s="93"/>
      <c r="CY686" s="93"/>
      <c r="CZ686" s="93"/>
      <c r="DA686" s="93"/>
      <c r="DB686" s="93"/>
      <c r="DC686" s="93"/>
      <c r="DD686" s="93"/>
      <c r="DE686" s="93"/>
      <c r="DF686" s="93"/>
      <c r="DG686" s="93"/>
      <c r="DH686" s="93"/>
      <c r="DI686" s="93"/>
      <c r="DJ686" s="93"/>
      <c r="DK686" s="93"/>
      <c r="DL686" s="93"/>
      <c r="DM686" s="93"/>
      <c r="DN686" s="93"/>
      <c r="DO686" s="93"/>
      <c r="DP686" s="93"/>
      <c r="DQ686" s="93"/>
      <c r="DR686" s="93"/>
      <c r="DS686" s="93"/>
      <c r="DT686" s="93"/>
      <c r="DU686" s="93"/>
      <c r="DV686" s="93"/>
      <c r="DW686" s="93"/>
      <c r="DX686" s="93"/>
      <c r="DY686" s="93"/>
      <c r="DZ686" s="93"/>
      <c r="EA686" s="93"/>
      <c r="EB686" s="93"/>
      <c r="EC686" s="93"/>
      <c r="ED686" s="93"/>
      <c r="EE686" s="93"/>
      <c r="EF686" s="93"/>
      <c r="EG686" s="93"/>
      <c r="EH686" s="93"/>
      <c r="EI686" s="93"/>
      <c r="EJ686" s="93"/>
      <c r="EK686" s="93"/>
      <c r="EL686" s="93"/>
      <c r="EM686" s="93"/>
      <c r="EN686" s="93"/>
      <c r="EO686" s="93"/>
      <c r="EP686" s="93"/>
      <c r="EQ686" s="93"/>
      <c r="ER686" s="93"/>
      <c r="ES686" s="93"/>
      <c r="ET686" s="93"/>
      <c r="EU686" s="93"/>
      <c r="EV686" s="93"/>
      <c r="EW686" s="93"/>
      <c r="EX686" s="93"/>
      <c r="EY686" s="93"/>
      <c r="EZ686" s="93"/>
      <c r="FA686" s="93"/>
      <c r="FB686" s="93"/>
      <c r="FC686" s="93"/>
      <c r="FD686" s="93"/>
      <c r="FE686" s="93"/>
      <c r="FF686" s="93"/>
    </row>
    <row r="687" spans="1:162" ht="15.75" customHeight="1">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c r="CM687" s="93"/>
      <c r="CN687" s="93"/>
      <c r="CO687" s="93"/>
      <c r="CP687" s="93"/>
      <c r="CQ687" s="93"/>
      <c r="CR687" s="93"/>
      <c r="CS687" s="93"/>
      <c r="CT687" s="93"/>
      <c r="CU687" s="93"/>
      <c r="CV687" s="93"/>
      <c r="CW687" s="93"/>
      <c r="CX687" s="93"/>
      <c r="CY687" s="93"/>
      <c r="CZ687" s="93"/>
      <c r="DA687" s="93"/>
      <c r="DB687" s="93"/>
      <c r="DC687" s="93"/>
      <c r="DD687" s="93"/>
      <c r="DE687" s="93"/>
      <c r="DF687" s="93"/>
      <c r="DG687" s="93"/>
      <c r="DH687" s="93"/>
      <c r="DI687" s="93"/>
      <c r="DJ687" s="93"/>
      <c r="DK687" s="93"/>
      <c r="DL687" s="93"/>
      <c r="DM687" s="93"/>
      <c r="DN687" s="93"/>
      <c r="DO687" s="93"/>
      <c r="DP687" s="93"/>
      <c r="DQ687" s="93"/>
      <c r="DR687" s="93"/>
      <c r="DS687" s="93"/>
      <c r="DT687" s="93"/>
      <c r="DU687" s="93"/>
      <c r="DV687" s="93"/>
      <c r="DW687" s="93"/>
      <c r="DX687" s="93"/>
      <c r="DY687" s="93"/>
      <c r="DZ687" s="93"/>
      <c r="EA687" s="93"/>
      <c r="EB687" s="93"/>
      <c r="EC687" s="93"/>
      <c r="ED687" s="93"/>
      <c r="EE687" s="93"/>
      <c r="EF687" s="93"/>
      <c r="EG687" s="93"/>
      <c r="EH687" s="93"/>
      <c r="EI687" s="93"/>
      <c r="EJ687" s="93"/>
      <c r="EK687" s="93"/>
      <c r="EL687" s="93"/>
      <c r="EM687" s="93"/>
      <c r="EN687" s="93"/>
      <c r="EO687" s="93"/>
      <c r="EP687" s="93"/>
      <c r="EQ687" s="93"/>
      <c r="ER687" s="93"/>
      <c r="ES687" s="93"/>
      <c r="ET687" s="93"/>
      <c r="EU687" s="93"/>
      <c r="EV687" s="93"/>
      <c r="EW687" s="93"/>
      <c r="EX687" s="93"/>
      <c r="EY687" s="93"/>
      <c r="EZ687" s="93"/>
      <c r="FA687" s="93"/>
      <c r="FB687" s="93"/>
      <c r="FC687" s="93"/>
      <c r="FD687" s="93"/>
      <c r="FE687" s="93"/>
      <c r="FF687" s="93"/>
    </row>
    <row r="688" spans="1:162" ht="15.75" customHeight="1">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c r="CM688" s="93"/>
      <c r="CN688" s="93"/>
      <c r="CO688" s="93"/>
      <c r="CP688" s="93"/>
      <c r="CQ688" s="93"/>
      <c r="CR688" s="93"/>
      <c r="CS688" s="93"/>
      <c r="CT688" s="93"/>
      <c r="CU688" s="93"/>
      <c r="CV688" s="93"/>
      <c r="CW688" s="93"/>
      <c r="CX688" s="93"/>
      <c r="CY688" s="93"/>
      <c r="CZ688" s="93"/>
      <c r="DA688" s="93"/>
      <c r="DB688" s="93"/>
      <c r="DC688" s="93"/>
      <c r="DD688" s="93"/>
      <c r="DE688" s="93"/>
      <c r="DF688" s="93"/>
      <c r="DG688" s="93"/>
      <c r="DH688" s="93"/>
      <c r="DI688" s="93"/>
      <c r="DJ688" s="93"/>
      <c r="DK688" s="93"/>
      <c r="DL688" s="93"/>
      <c r="DM688" s="93"/>
      <c r="DN688" s="93"/>
      <c r="DO688" s="93"/>
      <c r="DP688" s="93"/>
      <c r="DQ688" s="93"/>
      <c r="DR688" s="93"/>
      <c r="DS688" s="93"/>
      <c r="DT688" s="93"/>
      <c r="DU688" s="93"/>
      <c r="DV688" s="93"/>
      <c r="DW688" s="93"/>
      <c r="DX688" s="93"/>
      <c r="DY688" s="93"/>
      <c r="DZ688" s="93"/>
      <c r="EA688" s="93"/>
      <c r="EB688" s="93"/>
      <c r="EC688" s="93"/>
      <c r="ED688" s="93"/>
      <c r="EE688" s="93"/>
      <c r="EF688" s="93"/>
      <c r="EG688" s="93"/>
      <c r="EH688" s="93"/>
      <c r="EI688" s="93"/>
      <c r="EJ688" s="93"/>
      <c r="EK688" s="93"/>
      <c r="EL688" s="93"/>
      <c r="EM688" s="93"/>
      <c r="EN688" s="93"/>
      <c r="EO688" s="93"/>
      <c r="EP688" s="93"/>
      <c r="EQ688" s="93"/>
      <c r="ER688" s="93"/>
      <c r="ES688" s="93"/>
      <c r="ET688" s="93"/>
      <c r="EU688" s="93"/>
      <c r="EV688" s="93"/>
      <c r="EW688" s="93"/>
      <c r="EX688" s="93"/>
      <c r="EY688" s="93"/>
      <c r="EZ688" s="93"/>
      <c r="FA688" s="93"/>
      <c r="FB688" s="93"/>
      <c r="FC688" s="93"/>
      <c r="FD688" s="93"/>
      <c r="FE688" s="93"/>
      <c r="FF688" s="93"/>
    </row>
    <row r="689" spans="1:162" ht="15.75" customHeight="1">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93"/>
      <c r="DV689" s="93"/>
      <c r="DW689" s="93"/>
      <c r="DX689" s="93"/>
      <c r="DY689" s="93"/>
      <c r="DZ689" s="93"/>
      <c r="EA689" s="93"/>
      <c r="EB689" s="93"/>
      <c r="EC689" s="93"/>
      <c r="ED689" s="93"/>
      <c r="EE689" s="93"/>
      <c r="EF689" s="93"/>
      <c r="EG689" s="93"/>
      <c r="EH689" s="93"/>
      <c r="EI689" s="93"/>
      <c r="EJ689" s="93"/>
      <c r="EK689" s="93"/>
      <c r="EL689" s="93"/>
      <c r="EM689" s="93"/>
      <c r="EN689" s="93"/>
      <c r="EO689" s="93"/>
      <c r="EP689" s="93"/>
      <c r="EQ689" s="93"/>
      <c r="ER689" s="93"/>
      <c r="ES689" s="93"/>
      <c r="ET689" s="93"/>
      <c r="EU689" s="93"/>
      <c r="EV689" s="93"/>
      <c r="EW689" s="93"/>
      <c r="EX689" s="93"/>
      <c r="EY689" s="93"/>
      <c r="EZ689" s="93"/>
      <c r="FA689" s="93"/>
      <c r="FB689" s="93"/>
      <c r="FC689" s="93"/>
      <c r="FD689" s="93"/>
      <c r="FE689" s="93"/>
      <c r="FF689" s="93"/>
    </row>
    <row r="690" spans="1:162" ht="15.75" customHeight="1">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c r="CM690" s="93"/>
      <c r="CN690" s="93"/>
      <c r="CO690" s="93"/>
      <c r="CP690" s="93"/>
      <c r="CQ690" s="93"/>
      <c r="CR690" s="93"/>
      <c r="CS690" s="93"/>
      <c r="CT690" s="93"/>
      <c r="CU690" s="93"/>
      <c r="CV690" s="93"/>
      <c r="CW690" s="93"/>
      <c r="CX690" s="93"/>
      <c r="CY690" s="93"/>
      <c r="CZ690" s="93"/>
      <c r="DA690" s="93"/>
      <c r="DB690" s="93"/>
      <c r="DC690" s="93"/>
      <c r="DD690" s="93"/>
      <c r="DE690" s="93"/>
      <c r="DF690" s="93"/>
      <c r="DG690" s="93"/>
      <c r="DH690" s="93"/>
      <c r="DI690" s="93"/>
      <c r="DJ690" s="93"/>
      <c r="DK690" s="93"/>
      <c r="DL690" s="93"/>
      <c r="DM690" s="93"/>
      <c r="DN690" s="93"/>
      <c r="DO690" s="93"/>
      <c r="DP690" s="93"/>
      <c r="DQ690" s="93"/>
      <c r="DR690" s="93"/>
      <c r="DS690" s="93"/>
      <c r="DT690" s="93"/>
      <c r="DU690" s="93"/>
      <c r="DV690" s="93"/>
      <c r="DW690" s="93"/>
      <c r="DX690" s="93"/>
      <c r="DY690" s="93"/>
      <c r="DZ690" s="93"/>
      <c r="EA690" s="93"/>
      <c r="EB690" s="93"/>
      <c r="EC690" s="93"/>
      <c r="ED690" s="93"/>
      <c r="EE690" s="93"/>
      <c r="EF690" s="93"/>
      <c r="EG690" s="93"/>
      <c r="EH690" s="93"/>
      <c r="EI690" s="93"/>
      <c r="EJ690" s="93"/>
      <c r="EK690" s="93"/>
      <c r="EL690" s="93"/>
      <c r="EM690" s="93"/>
      <c r="EN690" s="93"/>
      <c r="EO690" s="93"/>
      <c r="EP690" s="93"/>
      <c r="EQ690" s="93"/>
      <c r="ER690" s="93"/>
      <c r="ES690" s="93"/>
      <c r="ET690" s="93"/>
      <c r="EU690" s="93"/>
      <c r="EV690" s="93"/>
      <c r="EW690" s="93"/>
      <c r="EX690" s="93"/>
      <c r="EY690" s="93"/>
      <c r="EZ690" s="93"/>
      <c r="FA690" s="93"/>
      <c r="FB690" s="93"/>
      <c r="FC690" s="93"/>
      <c r="FD690" s="93"/>
      <c r="FE690" s="93"/>
      <c r="FF690" s="93"/>
    </row>
    <row r="691" spans="1:162" ht="15.75" customHeight="1">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c r="CM691" s="93"/>
      <c r="CN691" s="93"/>
      <c r="CO691" s="93"/>
      <c r="CP691" s="93"/>
      <c r="CQ691" s="93"/>
      <c r="CR691" s="93"/>
      <c r="CS691" s="93"/>
      <c r="CT691" s="93"/>
      <c r="CU691" s="93"/>
      <c r="CV691" s="93"/>
      <c r="CW691" s="93"/>
      <c r="CX691" s="93"/>
      <c r="CY691" s="93"/>
      <c r="CZ691" s="93"/>
      <c r="DA691" s="93"/>
      <c r="DB691" s="93"/>
      <c r="DC691" s="93"/>
      <c r="DD691" s="93"/>
      <c r="DE691" s="93"/>
      <c r="DF691" s="93"/>
      <c r="DG691" s="93"/>
      <c r="DH691" s="93"/>
      <c r="DI691" s="93"/>
      <c r="DJ691" s="93"/>
      <c r="DK691" s="93"/>
      <c r="DL691" s="93"/>
      <c r="DM691" s="93"/>
      <c r="DN691" s="93"/>
      <c r="DO691" s="93"/>
      <c r="DP691" s="93"/>
      <c r="DQ691" s="93"/>
      <c r="DR691" s="93"/>
      <c r="DS691" s="93"/>
      <c r="DT691" s="93"/>
      <c r="DU691" s="93"/>
      <c r="DV691" s="93"/>
      <c r="DW691" s="93"/>
      <c r="DX691" s="93"/>
      <c r="DY691" s="93"/>
      <c r="DZ691" s="93"/>
      <c r="EA691" s="93"/>
      <c r="EB691" s="93"/>
      <c r="EC691" s="93"/>
      <c r="ED691" s="93"/>
      <c r="EE691" s="93"/>
      <c r="EF691" s="93"/>
      <c r="EG691" s="93"/>
      <c r="EH691" s="93"/>
      <c r="EI691" s="93"/>
      <c r="EJ691" s="93"/>
      <c r="EK691" s="93"/>
      <c r="EL691" s="93"/>
      <c r="EM691" s="93"/>
      <c r="EN691" s="93"/>
      <c r="EO691" s="93"/>
      <c r="EP691" s="93"/>
      <c r="EQ691" s="93"/>
      <c r="ER691" s="93"/>
      <c r="ES691" s="93"/>
      <c r="ET691" s="93"/>
      <c r="EU691" s="93"/>
      <c r="EV691" s="93"/>
      <c r="EW691" s="93"/>
      <c r="EX691" s="93"/>
      <c r="EY691" s="93"/>
      <c r="EZ691" s="93"/>
      <c r="FA691" s="93"/>
      <c r="FB691" s="93"/>
      <c r="FC691" s="93"/>
      <c r="FD691" s="93"/>
      <c r="FE691" s="93"/>
      <c r="FF691" s="93"/>
    </row>
    <row r="692" spans="1:162" ht="15.75" customHeight="1">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c r="CM692" s="93"/>
      <c r="CN692" s="93"/>
      <c r="CO692" s="93"/>
      <c r="CP692" s="93"/>
      <c r="CQ692" s="93"/>
      <c r="CR692" s="93"/>
      <c r="CS692" s="93"/>
      <c r="CT692" s="93"/>
      <c r="CU692" s="93"/>
      <c r="CV692" s="93"/>
      <c r="CW692" s="93"/>
      <c r="CX692" s="93"/>
      <c r="CY692" s="93"/>
      <c r="CZ692" s="93"/>
      <c r="DA692" s="93"/>
      <c r="DB692" s="93"/>
      <c r="DC692" s="93"/>
      <c r="DD692" s="93"/>
      <c r="DE692" s="93"/>
      <c r="DF692" s="93"/>
      <c r="DG692" s="93"/>
      <c r="DH692" s="93"/>
      <c r="DI692" s="93"/>
      <c r="DJ692" s="93"/>
      <c r="DK692" s="93"/>
      <c r="DL692" s="93"/>
      <c r="DM692" s="93"/>
      <c r="DN692" s="93"/>
      <c r="DO692" s="93"/>
      <c r="DP692" s="93"/>
      <c r="DQ692" s="93"/>
      <c r="DR692" s="93"/>
      <c r="DS692" s="93"/>
      <c r="DT692" s="93"/>
      <c r="DU692" s="93"/>
      <c r="DV692" s="93"/>
      <c r="DW692" s="93"/>
      <c r="DX692" s="93"/>
      <c r="DY692" s="93"/>
      <c r="DZ692" s="93"/>
      <c r="EA692" s="93"/>
      <c r="EB692" s="93"/>
      <c r="EC692" s="93"/>
      <c r="ED692" s="93"/>
      <c r="EE692" s="93"/>
      <c r="EF692" s="93"/>
      <c r="EG692" s="93"/>
      <c r="EH692" s="93"/>
      <c r="EI692" s="93"/>
      <c r="EJ692" s="93"/>
      <c r="EK692" s="93"/>
      <c r="EL692" s="93"/>
      <c r="EM692" s="93"/>
      <c r="EN692" s="93"/>
      <c r="EO692" s="93"/>
      <c r="EP692" s="93"/>
      <c r="EQ692" s="93"/>
      <c r="ER692" s="93"/>
      <c r="ES692" s="93"/>
      <c r="ET692" s="93"/>
      <c r="EU692" s="93"/>
      <c r="EV692" s="93"/>
      <c r="EW692" s="93"/>
      <c r="EX692" s="93"/>
      <c r="EY692" s="93"/>
      <c r="EZ692" s="93"/>
      <c r="FA692" s="93"/>
      <c r="FB692" s="93"/>
      <c r="FC692" s="93"/>
      <c r="FD692" s="93"/>
      <c r="FE692" s="93"/>
      <c r="FF692" s="93"/>
    </row>
    <row r="693" spans="1:162" ht="15.75" customHeight="1">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row>
    <row r="694" spans="1:162" ht="15.75" customHeight="1">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c r="CM694" s="93"/>
      <c r="CN694" s="93"/>
      <c r="CO694" s="93"/>
      <c r="CP694" s="93"/>
      <c r="CQ694" s="93"/>
      <c r="CR694" s="93"/>
      <c r="CS694" s="93"/>
      <c r="CT694" s="93"/>
      <c r="CU694" s="93"/>
      <c r="CV694" s="93"/>
      <c r="CW694" s="93"/>
      <c r="CX694" s="93"/>
      <c r="CY694" s="93"/>
      <c r="CZ694" s="93"/>
      <c r="DA694" s="93"/>
      <c r="DB694" s="93"/>
      <c r="DC694" s="93"/>
      <c r="DD694" s="93"/>
      <c r="DE694" s="93"/>
      <c r="DF694" s="93"/>
      <c r="DG694" s="93"/>
      <c r="DH694" s="93"/>
      <c r="DI694" s="93"/>
      <c r="DJ694" s="93"/>
      <c r="DK694" s="93"/>
      <c r="DL694" s="93"/>
      <c r="DM694" s="93"/>
      <c r="DN694" s="93"/>
      <c r="DO694" s="93"/>
      <c r="DP694" s="93"/>
      <c r="DQ694" s="93"/>
      <c r="DR694" s="93"/>
      <c r="DS694" s="93"/>
      <c r="DT694" s="93"/>
      <c r="DU694" s="93"/>
      <c r="DV694" s="93"/>
      <c r="DW694" s="93"/>
      <c r="DX694" s="93"/>
      <c r="DY694" s="93"/>
      <c r="DZ694" s="93"/>
      <c r="EA694" s="93"/>
      <c r="EB694" s="93"/>
      <c r="EC694" s="93"/>
      <c r="ED694" s="93"/>
      <c r="EE694" s="93"/>
      <c r="EF694" s="93"/>
      <c r="EG694" s="93"/>
      <c r="EH694" s="93"/>
      <c r="EI694" s="93"/>
      <c r="EJ694" s="93"/>
      <c r="EK694" s="93"/>
      <c r="EL694" s="93"/>
      <c r="EM694" s="93"/>
      <c r="EN694" s="93"/>
      <c r="EO694" s="93"/>
      <c r="EP694" s="93"/>
      <c r="EQ694" s="93"/>
      <c r="ER694" s="93"/>
      <c r="ES694" s="93"/>
      <c r="ET694" s="93"/>
      <c r="EU694" s="93"/>
      <c r="EV694" s="93"/>
      <c r="EW694" s="93"/>
      <c r="EX694" s="93"/>
      <c r="EY694" s="93"/>
      <c r="EZ694" s="93"/>
      <c r="FA694" s="93"/>
      <c r="FB694" s="93"/>
      <c r="FC694" s="93"/>
      <c r="FD694" s="93"/>
      <c r="FE694" s="93"/>
      <c r="FF694" s="93"/>
    </row>
    <row r="695" spans="1:162" ht="15.75" customHeight="1">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93"/>
      <c r="DV695" s="93"/>
      <c r="DW695" s="93"/>
      <c r="DX695" s="93"/>
      <c r="DY695" s="93"/>
      <c r="DZ695" s="93"/>
      <c r="EA695" s="93"/>
      <c r="EB695" s="93"/>
      <c r="EC695" s="93"/>
      <c r="ED695" s="93"/>
      <c r="EE695" s="93"/>
      <c r="EF695" s="93"/>
      <c r="EG695" s="93"/>
      <c r="EH695" s="93"/>
      <c r="EI695" s="93"/>
      <c r="EJ695" s="93"/>
      <c r="EK695" s="93"/>
      <c r="EL695" s="93"/>
      <c r="EM695" s="93"/>
      <c r="EN695" s="93"/>
      <c r="EO695" s="93"/>
      <c r="EP695" s="93"/>
      <c r="EQ695" s="93"/>
      <c r="ER695" s="93"/>
      <c r="ES695" s="93"/>
      <c r="ET695" s="93"/>
      <c r="EU695" s="93"/>
      <c r="EV695" s="93"/>
      <c r="EW695" s="93"/>
      <c r="EX695" s="93"/>
      <c r="EY695" s="93"/>
      <c r="EZ695" s="93"/>
      <c r="FA695" s="93"/>
      <c r="FB695" s="93"/>
      <c r="FC695" s="93"/>
      <c r="FD695" s="93"/>
      <c r="FE695" s="93"/>
      <c r="FF695" s="93"/>
    </row>
    <row r="696" spans="1:162" ht="15.75" customHeight="1">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c r="CM696" s="93"/>
      <c r="CN696" s="93"/>
      <c r="CO696" s="93"/>
      <c r="CP696" s="93"/>
      <c r="CQ696" s="93"/>
      <c r="CR696" s="93"/>
      <c r="CS696" s="93"/>
      <c r="CT696" s="93"/>
      <c r="CU696" s="93"/>
      <c r="CV696" s="93"/>
      <c r="CW696" s="93"/>
      <c r="CX696" s="93"/>
      <c r="CY696" s="93"/>
      <c r="CZ696" s="93"/>
      <c r="DA696" s="93"/>
      <c r="DB696" s="93"/>
      <c r="DC696" s="93"/>
      <c r="DD696" s="93"/>
      <c r="DE696" s="93"/>
      <c r="DF696" s="93"/>
      <c r="DG696" s="93"/>
      <c r="DH696" s="93"/>
      <c r="DI696" s="93"/>
      <c r="DJ696" s="93"/>
      <c r="DK696" s="93"/>
      <c r="DL696" s="93"/>
      <c r="DM696" s="93"/>
      <c r="DN696" s="93"/>
      <c r="DO696" s="93"/>
      <c r="DP696" s="93"/>
      <c r="DQ696" s="93"/>
      <c r="DR696" s="93"/>
      <c r="DS696" s="93"/>
      <c r="DT696" s="93"/>
      <c r="DU696" s="93"/>
      <c r="DV696" s="93"/>
      <c r="DW696" s="93"/>
      <c r="DX696" s="93"/>
      <c r="DY696" s="93"/>
      <c r="DZ696" s="93"/>
      <c r="EA696" s="93"/>
      <c r="EB696" s="93"/>
      <c r="EC696" s="93"/>
      <c r="ED696" s="93"/>
      <c r="EE696" s="93"/>
      <c r="EF696" s="93"/>
      <c r="EG696" s="93"/>
      <c r="EH696" s="93"/>
      <c r="EI696" s="93"/>
      <c r="EJ696" s="93"/>
      <c r="EK696" s="93"/>
      <c r="EL696" s="93"/>
      <c r="EM696" s="93"/>
      <c r="EN696" s="93"/>
      <c r="EO696" s="93"/>
      <c r="EP696" s="93"/>
      <c r="EQ696" s="93"/>
      <c r="ER696" s="93"/>
      <c r="ES696" s="93"/>
      <c r="ET696" s="93"/>
      <c r="EU696" s="93"/>
      <c r="EV696" s="93"/>
      <c r="EW696" s="93"/>
      <c r="EX696" s="93"/>
      <c r="EY696" s="93"/>
      <c r="EZ696" s="93"/>
      <c r="FA696" s="93"/>
      <c r="FB696" s="93"/>
      <c r="FC696" s="93"/>
      <c r="FD696" s="93"/>
      <c r="FE696" s="93"/>
      <c r="FF696" s="93"/>
    </row>
    <row r="697" spans="1:162" ht="15.75" customHeight="1">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93"/>
      <c r="DV697" s="93"/>
      <c r="DW697" s="93"/>
      <c r="DX697" s="93"/>
      <c r="DY697" s="93"/>
      <c r="DZ697" s="93"/>
      <c r="EA697" s="93"/>
      <c r="EB697" s="93"/>
      <c r="EC697" s="93"/>
      <c r="ED697" s="93"/>
      <c r="EE697" s="93"/>
      <c r="EF697" s="93"/>
      <c r="EG697" s="93"/>
      <c r="EH697" s="93"/>
      <c r="EI697" s="93"/>
      <c r="EJ697" s="93"/>
      <c r="EK697" s="93"/>
      <c r="EL697" s="93"/>
      <c r="EM697" s="93"/>
      <c r="EN697" s="93"/>
      <c r="EO697" s="93"/>
      <c r="EP697" s="93"/>
      <c r="EQ697" s="93"/>
      <c r="ER697" s="93"/>
      <c r="ES697" s="93"/>
      <c r="ET697" s="93"/>
      <c r="EU697" s="93"/>
      <c r="EV697" s="93"/>
      <c r="EW697" s="93"/>
      <c r="EX697" s="93"/>
      <c r="EY697" s="93"/>
      <c r="EZ697" s="93"/>
      <c r="FA697" s="93"/>
      <c r="FB697" s="93"/>
      <c r="FC697" s="93"/>
      <c r="FD697" s="93"/>
      <c r="FE697" s="93"/>
      <c r="FF697" s="93"/>
    </row>
    <row r="698" spans="1:162" ht="15.75" customHeight="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93"/>
      <c r="DH698" s="93"/>
      <c r="DI698" s="93"/>
      <c r="DJ698" s="93"/>
      <c r="DK698" s="93"/>
      <c r="DL698" s="93"/>
      <c r="DM698" s="93"/>
      <c r="DN698" s="93"/>
      <c r="DO698" s="93"/>
      <c r="DP698" s="93"/>
      <c r="DQ698" s="93"/>
      <c r="DR698" s="93"/>
      <c r="DS698" s="93"/>
      <c r="DT698" s="93"/>
      <c r="DU698" s="93"/>
      <c r="DV698" s="93"/>
      <c r="DW698" s="93"/>
      <c r="DX698" s="93"/>
      <c r="DY698" s="93"/>
      <c r="DZ698" s="93"/>
      <c r="EA698" s="93"/>
      <c r="EB698" s="93"/>
      <c r="EC698" s="93"/>
      <c r="ED698" s="93"/>
      <c r="EE698" s="93"/>
      <c r="EF698" s="93"/>
      <c r="EG698" s="93"/>
      <c r="EH698" s="93"/>
      <c r="EI698" s="93"/>
      <c r="EJ698" s="93"/>
      <c r="EK698" s="93"/>
      <c r="EL698" s="93"/>
      <c r="EM698" s="93"/>
      <c r="EN698" s="93"/>
      <c r="EO698" s="93"/>
      <c r="EP698" s="93"/>
      <c r="EQ698" s="93"/>
      <c r="ER698" s="93"/>
      <c r="ES698" s="93"/>
      <c r="ET698" s="93"/>
      <c r="EU698" s="93"/>
      <c r="EV698" s="93"/>
      <c r="EW698" s="93"/>
      <c r="EX698" s="93"/>
      <c r="EY698" s="93"/>
      <c r="EZ698" s="93"/>
      <c r="FA698" s="93"/>
      <c r="FB698" s="93"/>
      <c r="FC698" s="93"/>
      <c r="FD698" s="93"/>
      <c r="FE698" s="93"/>
      <c r="FF698" s="93"/>
    </row>
    <row r="699" spans="1:162" ht="15.75" customHeight="1">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c r="CM699" s="93"/>
      <c r="CN699" s="93"/>
      <c r="CO699" s="93"/>
      <c r="CP699" s="93"/>
      <c r="CQ699" s="93"/>
      <c r="CR699" s="93"/>
      <c r="CS699" s="93"/>
      <c r="CT699" s="93"/>
      <c r="CU699" s="93"/>
      <c r="CV699" s="93"/>
      <c r="CW699" s="93"/>
      <c r="CX699" s="93"/>
      <c r="CY699" s="93"/>
      <c r="CZ699" s="93"/>
      <c r="DA699" s="93"/>
      <c r="DB699" s="93"/>
      <c r="DC699" s="93"/>
      <c r="DD699" s="93"/>
      <c r="DE699" s="93"/>
      <c r="DF699" s="93"/>
      <c r="DG699" s="93"/>
      <c r="DH699" s="93"/>
      <c r="DI699" s="93"/>
      <c r="DJ699" s="93"/>
      <c r="DK699" s="93"/>
      <c r="DL699" s="93"/>
      <c r="DM699" s="93"/>
      <c r="DN699" s="93"/>
      <c r="DO699" s="93"/>
      <c r="DP699" s="93"/>
      <c r="DQ699" s="93"/>
      <c r="DR699" s="93"/>
      <c r="DS699" s="93"/>
      <c r="DT699" s="93"/>
      <c r="DU699" s="93"/>
      <c r="DV699" s="93"/>
      <c r="DW699" s="93"/>
      <c r="DX699" s="93"/>
      <c r="DY699" s="93"/>
      <c r="DZ699" s="93"/>
      <c r="EA699" s="93"/>
      <c r="EB699" s="93"/>
      <c r="EC699" s="93"/>
      <c r="ED699" s="93"/>
      <c r="EE699" s="93"/>
      <c r="EF699" s="93"/>
      <c r="EG699" s="93"/>
      <c r="EH699" s="93"/>
      <c r="EI699" s="93"/>
      <c r="EJ699" s="93"/>
      <c r="EK699" s="93"/>
      <c r="EL699" s="93"/>
      <c r="EM699" s="93"/>
      <c r="EN699" s="93"/>
      <c r="EO699" s="93"/>
      <c r="EP699" s="93"/>
      <c r="EQ699" s="93"/>
      <c r="ER699" s="93"/>
      <c r="ES699" s="93"/>
      <c r="ET699" s="93"/>
      <c r="EU699" s="93"/>
      <c r="EV699" s="93"/>
      <c r="EW699" s="93"/>
      <c r="EX699" s="93"/>
      <c r="EY699" s="93"/>
      <c r="EZ699" s="93"/>
      <c r="FA699" s="93"/>
      <c r="FB699" s="93"/>
      <c r="FC699" s="93"/>
      <c r="FD699" s="93"/>
      <c r="FE699" s="93"/>
      <c r="FF699" s="93"/>
    </row>
    <row r="700" spans="1:162" ht="15.75" customHeight="1">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c r="CM700" s="93"/>
      <c r="CN700" s="93"/>
      <c r="CO700" s="93"/>
      <c r="CP700" s="93"/>
      <c r="CQ700" s="93"/>
      <c r="CR700" s="93"/>
      <c r="CS700" s="93"/>
      <c r="CT700" s="93"/>
      <c r="CU700" s="93"/>
      <c r="CV700" s="93"/>
      <c r="CW700" s="93"/>
      <c r="CX700" s="93"/>
      <c r="CY700" s="93"/>
      <c r="CZ700" s="93"/>
      <c r="DA700" s="93"/>
      <c r="DB700" s="93"/>
      <c r="DC700" s="93"/>
      <c r="DD700" s="93"/>
      <c r="DE700" s="93"/>
      <c r="DF700" s="93"/>
      <c r="DG700" s="93"/>
      <c r="DH700" s="93"/>
      <c r="DI700" s="93"/>
      <c r="DJ700" s="93"/>
      <c r="DK700" s="93"/>
      <c r="DL700" s="93"/>
      <c r="DM700" s="93"/>
      <c r="DN700" s="93"/>
      <c r="DO700" s="93"/>
      <c r="DP700" s="93"/>
      <c r="DQ700" s="93"/>
      <c r="DR700" s="93"/>
      <c r="DS700" s="93"/>
      <c r="DT700" s="93"/>
      <c r="DU700" s="93"/>
      <c r="DV700" s="93"/>
      <c r="DW700" s="93"/>
      <c r="DX700" s="93"/>
      <c r="DY700" s="93"/>
      <c r="DZ700" s="93"/>
      <c r="EA700" s="93"/>
      <c r="EB700" s="93"/>
      <c r="EC700" s="93"/>
      <c r="ED700" s="93"/>
      <c r="EE700" s="93"/>
      <c r="EF700" s="93"/>
      <c r="EG700" s="93"/>
      <c r="EH700" s="93"/>
      <c r="EI700" s="93"/>
      <c r="EJ700" s="93"/>
      <c r="EK700" s="93"/>
      <c r="EL700" s="93"/>
      <c r="EM700" s="93"/>
      <c r="EN700" s="93"/>
      <c r="EO700" s="93"/>
      <c r="EP700" s="93"/>
      <c r="EQ700" s="93"/>
      <c r="ER700" s="93"/>
      <c r="ES700" s="93"/>
      <c r="ET700" s="93"/>
      <c r="EU700" s="93"/>
      <c r="EV700" s="93"/>
      <c r="EW700" s="93"/>
      <c r="EX700" s="93"/>
      <c r="EY700" s="93"/>
      <c r="EZ700" s="93"/>
      <c r="FA700" s="93"/>
      <c r="FB700" s="93"/>
      <c r="FC700" s="93"/>
      <c r="FD700" s="93"/>
      <c r="FE700" s="93"/>
      <c r="FF700" s="93"/>
    </row>
    <row r="701" spans="1:162" ht="15.75" customHeight="1">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c r="CM701" s="93"/>
      <c r="CN701" s="93"/>
      <c r="CO701" s="93"/>
      <c r="CP701" s="93"/>
      <c r="CQ701" s="93"/>
      <c r="CR701" s="93"/>
      <c r="CS701" s="93"/>
      <c r="CT701" s="93"/>
      <c r="CU701" s="93"/>
      <c r="CV701" s="93"/>
      <c r="CW701" s="93"/>
      <c r="CX701" s="93"/>
      <c r="CY701" s="93"/>
      <c r="CZ701" s="93"/>
      <c r="DA701" s="93"/>
      <c r="DB701" s="93"/>
      <c r="DC701" s="93"/>
      <c r="DD701" s="93"/>
      <c r="DE701" s="93"/>
      <c r="DF701" s="93"/>
      <c r="DG701" s="93"/>
      <c r="DH701" s="93"/>
      <c r="DI701" s="93"/>
      <c r="DJ701" s="93"/>
      <c r="DK701" s="93"/>
      <c r="DL701" s="93"/>
      <c r="DM701" s="93"/>
      <c r="DN701" s="93"/>
      <c r="DO701" s="93"/>
      <c r="DP701" s="93"/>
      <c r="DQ701" s="93"/>
      <c r="DR701" s="93"/>
      <c r="DS701" s="93"/>
      <c r="DT701" s="93"/>
      <c r="DU701" s="93"/>
      <c r="DV701" s="93"/>
      <c r="DW701" s="93"/>
      <c r="DX701" s="93"/>
      <c r="DY701" s="93"/>
      <c r="DZ701" s="93"/>
      <c r="EA701" s="93"/>
      <c r="EB701" s="93"/>
      <c r="EC701" s="93"/>
      <c r="ED701" s="93"/>
      <c r="EE701" s="93"/>
      <c r="EF701" s="93"/>
      <c r="EG701" s="93"/>
      <c r="EH701" s="93"/>
      <c r="EI701" s="93"/>
      <c r="EJ701" s="93"/>
      <c r="EK701" s="93"/>
      <c r="EL701" s="93"/>
      <c r="EM701" s="93"/>
      <c r="EN701" s="93"/>
      <c r="EO701" s="93"/>
      <c r="EP701" s="93"/>
      <c r="EQ701" s="93"/>
      <c r="ER701" s="93"/>
      <c r="ES701" s="93"/>
      <c r="ET701" s="93"/>
      <c r="EU701" s="93"/>
      <c r="EV701" s="93"/>
      <c r="EW701" s="93"/>
      <c r="EX701" s="93"/>
      <c r="EY701" s="93"/>
      <c r="EZ701" s="93"/>
      <c r="FA701" s="93"/>
      <c r="FB701" s="93"/>
      <c r="FC701" s="93"/>
      <c r="FD701" s="93"/>
      <c r="FE701" s="93"/>
      <c r="FF701" s="93"/>
    </row>
    <row r="702" spans="1:162" ht="15.75" customHeight="1">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c r="CM702" s="93"/>
      <c r="CN702" s="93"/>
      <c r="CO702" s="93"/>
      <c r="CP702" s="93"/>
      <c r="CQ702" s="93"/>
      <c r="CR702" s="93"/>
      <c r="CS702" s="93"/>
      <c r="CT702" s="93"/>
      <c r="CU702" s="93"/>
      <c r="CV702" s="93"/>
      <c r="CW702" s="93"/>
      <c r="CX702" s="93"/>
      <c r="CY702" s="93"/>
      <c r="CZ702" s="93"/>
      <c r="DA702" s="93"/>
      <c r="DB702" s="93"/>
      <c r="DC702" s="93"/>
      <c r="DD702" s="93"/>
      <c r="DE702" s="93"/>
      <c r="DF702" s="93"/>
      <c r="DG702" s="93"/>
      <c r="DH702" s="93"/>
      <c r="DI702" s="93"/>
      <c r="DJ702" s="93"/>
      <c r="DK702" s="93"/>
      <c r="DL702" s="93"/>
      <c r="DM702" s="93"/>
      <c r="DN702" s="93"/>
      <c r="DO702" s="93"/>
      <c r="DP702" s="93"/>
      <c r="DQ702" s="93"/>
      <c r="DR702" s="93"/>
      <c r="DS702" s="93"/>
      <c r="DT702" s="93"/>
      <c r="DU702" s="93"/>
      <c r="DV702" s="93"/>
      <c r="DW702" s="93"/>
      <c r="DX702" s="93"/>
      <c r="DY702" s="93"/>
      <c r="DZ702" s="93"/>
      <c r="EA702" s="93"/>
      <c r="EB702" s="93"/>
      <c r="EC702" s="93"/>
      <c r="ED702" s="93"/>
      <c r="EE702" s="93"/>
      <c r="EF702" s="93"/>
      <c r="EG702" s="93"/>
      <c r="EH702" s="93"/>
      <c r="EI702" s="93"/>
      <c r="EJ702" s="93"/>
      <c r="EK702" s="93"/>
      <c r="EL702" s="93"/>
      <c r="EM702" s="93"/>
      <c r="EN702" s="93"/>
      <c r="EO702" s="93"/>
      <c r="EP702" s="93"/>
      <c r="EQ702" s="93"/>
      <c r="ER702" s="93"/>
      <c r="ES702" s="93"/>
      <c r="ET702" s="93"/>
      <c r="EU702" s="93"/>
      <c r="EV702" s="93"/>
      <c r="EW702" s="93"/>
      <c r="EX702" s="93"/>
      <c r="EY702" s="93"/>
      <c r="EZ702" s="93"/>
      <c r="FA702" s="93"/>
      <c r="FB702" s="93"/>
      <c r="FC702" s="93"/>
      <c r="FD702" s="93"/>
      <c r="FE702" s="93"/>
      <c r="FF702" s="93"/>
    </row>
    <row r="703" spans="1:162" ht="15.75" customHeight="1">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c r="CM703" s="93"/>
      <c r="CN703" s="93"/>
      <c r="CO703" s="93"/>
      <c r="CP703" s="93"/>
      <c r="CQ703" s="93"/>
      <c r="CR703" s="93"/>
      <c r="CS703" s="93"/>
      <c r="CT703" s="93"/>
      <c r="CU703" s="93"/>
      <c r="CV703" s="93"/>
      <c r="CW703" s="93"/>
      <c r="CX703" s="93"/>
      <c r="CY703" s="93"/>
      <c r="CZ703" s="93"/>
      <c r="DA703" s="93"/>
      <c r="DB703" s="93"/>
      <c r="DC703" s="93"/>
      <c r="DD703" s="93"/>
      <c r="DE703" s="93"/>
      <c r="DF703" s="93"/>
      <c r="DG703" s="93"/>
      <c r="DH703" s="93"/>
      <c r="DI703" s="93"/>
      <c r="DJ703" s="93"/>
      <c r="DK703" s="93"/>
      <c r="DL703" s="93"/>
      <c r="DM703" s="93"/>
      <c r="DN703" s="93"/>
      <c r="DO703" s="93"/>
      <c r="DP703" s="93"/>
      <c r="DQ703" s="93"/>
      <c r="DR703" s="93"/>
      <c r="DS703" s="93"/>
      <c r="DT703" s="93"/>
      <c r="DU703" s="93"/>
      <c r="DV703" s="93"/>
      <c r="DW703" s="93"/>
      <c r="DX703" s="93"/>
      <c r="DY703" s="93"/>
      <c r="DZ703" s="93"/>
      <c r="EA703" s="93"/>
      <c r="EB703" s="93"/>
      <c r="EC703" s="93"/>
      <c r="ED703" s="93"/>
      <c r="EE703" s="93"/>
      <c r="EF703" s="93"/>
      <c r="EG703" s="93"/>
      <c r="EH703" s="93"/>
      <c r="EI703" s="93"/>
      <c r="EJ703" s="93"/>
      <c r="EK703" s="93"/>
      <c r="EL703" s="93"/>
      <c r="EM703" s="93"/>
      <c r="EN703" s="93"/>
      <c r="EO703" s="93"/>
      <c r="EP703" s="93"/>
      <c r="EQ703" s="93"/>
      <c r="ER703" s="93"/>
      <c r="ES703" s="93"/>
      <c r="ET703" s="93"/>
      <c r="EU703" s="93"/>
      <c r="EV703" s="93"/>
      <c r="EW703" s="93"/>
      <c r="EX703" s="93"/>
      <c r="EY703" s="93"/>
      <c r="EZ703" s="93"/>
      <c r="FA703" s="93"/>
      <c r="FB703" s="93"/>
      <c r="FC703" s="93"/>
      <c r="FD703" s="93"/>
      <c r="FE703" s="93"/>
      <c r="FF703" s="93"/>
    </row>
    <row r="704" spans="1:162" ht="15.75" customHeight="1">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c r="CM704" s="93"/>
      <c r="CN704" s="93"/>
      <c r="CO704" s="93"/>
      <c r="CP704" s="93"/>
      <c r="CQ704" s="93"/>
      <c r="CR704" s="93"/>
      <c r="CS704" s="93"/>
      <c r="CT704" s="93"/>
      <c r="CU704" s="93"/>
      <c r="CV704" s="93"/>
      <c r="CW704" s="93"/>
      <c r="CX704" s="93"/>
      <c r="CY704" s="93"/>
      <c r="CZ704" s="93"/>
      <c r="DA704" s="93"/>
      <c r="DB704" s="93"/>
      <c r="DC704" s="93"/>
      <c r="DD704" s="93"/>
      <c r="DE704" s="93"/>
      <c r="DF704" s="93"/>
      <c r="DG704" s="93"/>
      <c r="DH704" s="93"/>
      <c r="DI704" s="93"/>
      <c r="DJ704" s="93"/>
      <c r="DK704" s="93"/>
      <c r="DL704" s="93"/>
      <c r="DM704" s="93"/>
      <c r="DN704" s="93"/>
      <c r="DO704" s="93"/>
      <c r="DP704" s="93"/>
      <c r="DQ704" s="93"/>
      <c r="DR704" s="93"/>
      <c r="DS704" s="93"/>
      <c r="DT704" s="93"/>
      <c r="DU704" s="93"/>
      <c r="DV704" s="93"/>
      <c r="DW704" s="93"/>
      <c r="DX704" s="93"/>
      <c r="DY704" s="93"/>
      <c r="DZ704" s="93"/>
      <c r="EA704" s="93"/>
      <c r="EB704" s="93"/>
      <c r="EC704" s="93"/>
      <c r="ED704" s="93"/>
      <c r="EE704" s="93"/>
      <c r="EF704" s="93"/>
      <c r="EG704" s="93"/>
      <c r="EH704" s="93"/>
      <c r="EI704" s="93"/>
      <c r="EJ704" s="93"/>
      <c r="EK704" s="93"/>
      <c r="EL704" s="93"/>
      <c r="EM704" s="93"/>
      <c r="EN704" s="93"/>
      <c r="EO704" s="93"/>
      <c r="EP704" s="93"/>
      <c r="EQ704" s="93"/>
      <c r="ER704" s="93"/>
      <c r="ES704" s="93"/>
      <c r="ET704" s="93"/>
      <c r="EU704" s="93"/>
      <c r="EV704" s="93"/>
      <c r="EW704" s="93"/>
      <c r="EX704" s="93"/>
      <c r="EY704" s="93"/>
      <c r="EZ704" s="93"/>
      <c r="FA704" s="93"/>
      <c r="FB704" s="93"/>
      <c r="FC704" s="93"/>
      <c r="FD704" s="93"/>
      <c r="FE704" s="93"/>
      <c r="FF704" s="93"/>
    </row>
    <row r="705" spans="1:162" ht="15.75" customHeight="1">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c r="CM705" s="93"/>
      <c r="CN705" s="93"/>
      <c r="CO705" s="93"/>
      <c r="CP705" s="93"/>
      <c r="CQ705" s="93"/>
      <c r="CR705" s="93"/>
      <c r="CS705" s="93"/>
      <c r="CT705" s="93"/>
      <c r="CU705" s="93"/>
      <c r="CV705" s="93"/>
      <c r="CW705" s="93"/>
      <c r="CX705" s="93"/>
      <c r="CY705" s="93"/>
      <c r="CZ705" s="93"/>
      <c r="DA705" s="93"/>
      <c r="DB705" s="93"/>
      <c r="DC705" s="93"/>
      <c r="DD705" s="93"/>
      <c r="DE705" s="93"/>
      <c r="DF705" s="93"/>
      <c r="DG705" s="93"/>
      <c r="DH705" s="93"/>
      <c r="DI705" s="93"/>
      <c r="DJ705" s="93"/>
      <c r="DK705" s="93"/>
      <c r="DL705" s="93"/>
      <c r="DM705" s="93"/>
      <c r="DN705" s="93"/>
      <c r="DO705" s="93"/>
      <c r="DP705" s="93"/>
      <c r="DQ705" s="93"/>
      <c r="DR705" s="93"/>
      <c r="DS705" s="93"/>
      <c r="DT705" s="93"/>
      <c r="DU705" s="93"/>
      <c r="DV705" s="93"/>
      <c r="DW705" s="93"/>
      <c r="DX705" s="93"/>
      <c r="DY705" s="93"/>
      <c r="DZ705" s="93"/>
      <c r="EA705" s="93"/>
      <c r="EB705" s="93"/>
      <c r="EC705" s="93"/>
      <c r="ED705" s="93"/>
      <c r="EE705" s="93"/>
      <c r="EF705" s="93"/>
      <c r="EG705" s="93"/>
      <c r="EH705" s="93"/>
      <c r="EI705" s="93"/>
      <c r="EJ705" s="93"/>
      <c r="EK705" s="93"/>
      <c r="EL705" s="93"/>
      <c r="EM705" s="93"/>
      <c r="EN705" s="93"/>
      <c r="EO705" s="93"/>
      <c r="EP705" s="93"/>
      <c r="EQ705" s="93"/>
      <c r="ER705" s="93"/>
      <c r="ES705" s="93"/>
      <c r="ET705" s="93"/>
      <c r="EU705" s="93"/>
      <c r="EV705" s="93"/>
      <c r="EW705" s="93"/>
      <c r="EX705" s="93"/>
      <c r="EY705" s="93"/>
      <c r="EZ705" s="93"/>
      <c r="FA705" s="93"/>
      <c r="FB705" s="93"/>
      <c r="FC705" s="93"/>
      <c r="FD705" s="93"/>
      <c r="FE705" s="93"/>
      <c r="FF705" s="93"/>
    </row>
    <row r="706" spans="1:162" ht="15.75" customHeight="1">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c r="CM706" s="93"/>
      <c r="CN706" s="93"/>
      <c r="CO706" s="93"/>
      <c r="CP706" s="93"/>
      <c r="CQ706" s="93"/>
      <c r="CR706" s="93"/>
      <c r="CS706" s="93"/>
      <c r="CT706" s="93"/>
      <c r="CU706" s="93"/>
      <c r="CV706" s="93"/>
      <c r="CW706" s="93"/>
      <c r="CX706" s="93"/>
      <c r="CY706" s="93"/>
      <c r="CZ706" s="93"/>
      <c r="DA706" s="93"/>
      <c r="DB706" s="93"/>
      <c r="DC706" s="93"/>
      <c r="DD706" s="93"/>
      <c r="DE706" s="93"/>
      <c r="DF706" s="93"/>
      <c r="DG706" s="93"/>
      <c r="DH706" s="93"/>
      <c r="DI706" s="93"/>
      <c r="DJ706" s="93"/>
      <c r="DK706" s="93"/>
      <c r="DL706" s="93"/>
      <c r="DM706" s="93"/>
      <c r="DN706" s="93"/>
      <c r="DO706" s="93"/>
      <c r="DP706" s="93"/>
      <c r="DQ706" s="93"/>
      <c r="DR706" s="93"/>
      <c r="DS706" s="93"/>
      <c r="DT706" s="93"/>
      <c r="DU706" s="93"/>
      <c r="DV706" s="93"/>
      <c r="DW706" s="93"/>
      <c r="DX706" s="93"/>
      <c r="DY706" s="93"/>
      <c r="DZ706" s="93"/>
      <c r="EA706" s="93"/>
      <c r="EB706" s="93"/>
      <c r="EC706" s="93"/>
      <c r="ED706" s="93"/>
      <c r="EE706" s="93"/>
      <c r="EF706" s="93"/>
      <c r="EG706" s="93"/>
      <c r="EH706" s="93"/>
      <c r="EI706" s="93"/>
      <c r="EJ706" s="93"/>
      <c r="EK706" s="93"/>
      <c r="EL706" s="93"/>
      <c r="EM706" s="93"/>
      <c r="EN706" s="93"/>
      <c r="EO706" s="93"/>
      <c r="EP706" s="93"/>
      <c r="EQ706" s="93"/>
      <c r="ER706" s="93"/>
      <c r="ES706" s="93"/>
      <c r="ET706" s="93"/>
      <c r="EU706" s="93"/>
      <c r="EV706" s="93"/>
      <c r="EW706" s="93"/>
      <c r="EX706" s="93"/>
      <c r="EY706" s="93"/>
      <c r="EZ706" s="93"/>
      <c r="FA706" s="93"/>
      <c r="FB706" s="93"/>
      <c r="FC706" s="93"/>
      <c r="FD706" s="93"/>
      <c r="FE706" s="93"/>
      <c r="FF706" s="93"/>
    </row>
    <row r="707" spans="1:162" ht="15.75" customHeight="1">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c r="CM707" s="93"/>
      <c r="CN707" s="93"/>
      <c r="CO707" s="93"/>
      <c r="CP707" s="93"/>
      <c r="CQ707" s="93"/>
      <c r="CR707" s="93"/>
      <c r="CS707" s="93"/>
      <c r="CT707" s="93"/>
      <c r="CU707" s="93"/>
      <c r="CV707" s="93"/>
      <c r="CW707" s="93"/>
      <c r="CX707" s="93"/>
      <c r="CY707" s="93"/>
      <c r="CZ707" s="93"/>
      <c r="DA707" s="93"/>
      <c r="DB707" s="93"/>
      <c r="DC707" s="93"/>
      <c r="DD707" s="93"/>
      <c r="DE707" s="93"/>
      <c r="DF707" s="93"/>
      <c r="DG707" s="93"/>
      <c r="DH707" s="93"/>
      <c r="DI707" s="93"/>
      <c r="DJ707" s="93"/>
      <c r="DK707" s="93"/>
      <c r="DL707" s="93"/>
      <c r="DM707" s="93"/>
      <c r="DN707" s="93"/>
      <c r="DO707" s="93"/>
      <c r="DP707" s="93"/>
      <c r="DQ707" s="93"/>
      <c r="DR707" s="93"/>
      <c r="DS707" s="93"/>
      <c r="DT707" s="93"/>
      <c r="DU707" s="93"/>
      <c r="DV707" s="93"/>
      <c r="DW707" s="93"/>
      <c r="DX707" s="93"/>
      <c r="DY707" s="93"/>
      <c r="DZ707" s="93"/>
      <c r="EA707" s="93"/>
      <c r="EB707" s="93"/>
      <c r="EC707" s="93"/>
      <c r="ED707" s="93"/>
      <c r="EE707" s="93"/>
      <c r="EF707" s="93"/>
      <c r="EG707" s="93"/>
      <c r="EH707" s="93"/>
      <c r="EI707" s="93"/>
      <c r="EJ707" s="93"/>
      <c r="EK707" s="93"/>
      <c r="EL707" s="93"/>
      <c r="EM707" s="93"/>
      <c r="EN707" s="93"/>
      <c r="EO707" s="93"/>
      <c r="EP707" s="93"/>
      <c r="EQ707" s="93"/>
      <c r="ER707" s="93"/>
      <c r="ES707" s="93"/>
      <c r="ET707" s="93"/>
      <c r="EU707" s="93"/>
      <c r="EV707" s="93"/>
      <c r="EW707" s="93"/>
      <c r="EX707" s="93"/>
      <c r="EY707" s="93"/>
      <c r="EZ707" s="93"/>
      <c r="FA707" s="93"/>
      <c r="FB707" s="93"/>
      <c r="FC707" s="93"/>
      <c r="FD707" s="93"/>
      <c r="FE707" s="93"/>
      <c r="FF707" s="93"/>
    </row>
    <row r="708" spans="1:162" ht="15.75" customHeight="1">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c r="CM708" s="93"/>
      <c r="CN708" s="93"/>
      <c r="CO708" s="93"/>
      <c r="CP708" s="93"/>
      <c r="CQ708" s="93"/>
      <c r="CR708" s="93"/>
      <c r="CS708" s="93"/>
      <c r="CT708" s="93"/>
      <c r="CU708" s="93"/>
      <c r="CV708" s="93"/>
      <c r="CW708" s="93"/>
      <c r="CX708" s="93"/>
      <c r="CY708" s="93"/>
      <c r="CZ708" s="93"/>
      <c r="DA708" s="93"/>
      <c r="DB708" s="93"/>
      <c r="DC708" s="93"/>
      <c r="DD708" s="93"/>
      <c r="DE708" s="93"/>
      <c r="DF708" s="93"/>
      <c r="DG708" s="93"/>
      <c r="DH708" s="93"/>
      <c r="DI708" s="93"/>
      <c r="DJ708" s="93"/>
      <c r="DK708" s="93"/>
      <c r="DL708" s="93"/>
      <c r="DM708" s="93"/>
      <c r="DN708" s="93"/>
      <c r="DO708" s="93"/>
      <c r="DP708" s="93"/>
      <c r="DQ708" s="93"/>
      <c r="DR708" s="93"/>
      <c r="DS708" s="93"/>
      <c r="DT708" s="93"/>
      <c r="DU708" s="93"/>
      <c r="DV708" s="93"/>
      <c r="DW708" s="93"/>
      <c r="DX708" s="93"/>
      <c r="DY708" s="93"/>
      <c r="DZ708" s="93"/>
      <c r="EA708" s="93"/>
      <c r="EB708" s="93"/>
      <c r="EC708" s="93"/>
      <c r="ED708" s="93"/>
      <c r="EE708" s="93"/>
      <c r="EF708" s="93"/>
      <c r="EG708" s="93"/>
      <c r="EH708" s="93"/>
      <c r="EI708" s="93"/>
      <c r="EJ708" s="93"/>
      <c r="EK708" s="93"/>
      <c r="EL708" s="93"/>
      <c r="EM708" s="93"/>
      <c r="EN708" s="93"/>
      <c r="EO708" s="93"/>
      <c r="EP708" s="93"/>
      <c r="EQ708" s="93"/>
      <c r="ER708" s="93"/>
      <c r="ES708" s="93"/>
      <c r="ET708" s="93"/>
      <c r="EU708" s="93"/>
      <c r="EV708" s="93"/>
      <c r="EW708" s="93"/>
      <c r="EX708" s="93"/>
      <c r="EY708" s="93"/>
      <c r="EZ708" s="93"/>
      <c r="FA708" s="93"/>
      <c r="FB708" s="93"/>
      <c r="FC708" s="93"/>
      <c r="FD708" s="93"/>
      <c r="FE708" s="93"/>
      <c r="FF708" s="93"/>
    </row>
    <row r="709" spans="1:162" ht="15.75" customHeight="1">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c r="CM709" s="93"/>
      <c r="CN709" s="93"/>
      <c r="CO709" s="93"/>
      <c r="CP709" s="93"/>
      <c r="CQ709" s="93"/>
      <c r="CR709" s="93"/>
      <c r="CS709" s="93"/>
      <c r="CT709" s="93"/>
      <c r="CU709" s="93"/>
      <c r="CV709" s="93"/>
      <c r="CW709" s="93"/>
      <c r="CX709" s="93"/>
      <c r="CY709" s="93"/>
      <c r="CZ709" s="93"/>
      <c r="DA709" s="93"/>
      <c r="DB709" s="93"/>
      <c r="DC709" s="93"/>
      <c r="DD709" s="93"/>
      <c r="DE709" s="93"/>
      <c r="DF709" s="93"/>
      <c r="DG709" s="93"/>
      <c r="DH709" s="93"/>
      <c r="DI709" s="93"/>
      <c r="DJ709" s="93"/>
      <c r="DK709" s="93"/>
      <c r="DL709" s="93"/>
      <c r="DM709" s="93"/>
      <c r="DN709" s="93"/>
      <c r="DO709" s="93"/>
      <c r="DP709" s="93"/>
      <c r="DQ709" s="93"/>
      <c r="DR709" s="93"/>
      <c r="DS709" s="93"/>
      <c r="DT709" s="93"/>
      <c r="DU709" s="93"/>
      <c r="DV709" s="93"/>
      <c r="DW709" s="93"/>
      <c r="DX709" s="93"/>
      <c r="DY709" s="93"/>
      <c r="DZ709" s="93"/>
      <c r="EA709" s="93"/>
      <c r="EB709" s="93"/>
      <c r="EC709" s="93"/>
      <c r="ED709" s="93"/>
      <c r="EE709" s="93"/>
      <c r="EF709" s="93"/>
      <c r="EG709" s="93"/>
      <c r="EH709" s="93"/>
      <c r="EI709" s="93"/>
      <c r="EJ709" s="93"/>
      <c r="EK709" s="93"/>
      <c r="EL709" s="93"/>
      <c r="EM709" s="93"/>
      <c r="EN709" s="93"/>
      <c r="EO709" s="93"/>
      <c r="EP709" s="93"/>
      <c r="EQ709" s="93"/>
      <c r="ER709" s="93"/>
      <c r="ES709" s="93"/>
      <c r="ET709" s="93"/>
      <c r="EU709" s="93"/>
      <c r="EV709" s="93"/>
      <c r="EW709" s="93"/>
      <c r="EX709" s="93"/>
      <c r="EY709" s="93"/>
      <c r="EZ709" s="93"/>
      <c r="FA709" s="93"/>
      <c r="FB709" s="93"/>
      <c r="FC709" s="93"/>
      <c r="FD709" s="93"/>
      <c r="FE709" s="93"/>
      <c r="FF709" s="93"/>
    </row>
    <row r="710" spans="1:162" ht="15.75" customHeight="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c r="CM710" s="93"/>
      <c r="CN710" s="93"/>
      <c r="CO710" s="93"/>
      <c r="CP710" s="93"/>
      <c r="CQ710" s="93"/>
      <c r="CR710" s="93"/>
      <c r="CS710" s="93"/>
      <c r="CT710" s="93"/>
      <c r="CU710" s="93"/>
      <c r="CV710" s="93"/>
      <c r="CW710" s="93"/>
      <c r="CX710" s="93"/>
      <c r="CY710" s="93"/>
      <c r="CZ710" s="93"/>
      <c r="DA710" s="93"/>
      <c r="DB710" s="93"/>
      <c r="DC710" s="93"/>
      <c r="DD710" s="93"/>
      <c r="DE710" s="93"/>
      <c r="DF710" s="93"/>
      <c r="DG710" s="93"/>
      <c r="DH710" s="93"/>
      <c r="DI710" s="93"/>
      <c r="DJ710" s="93"/>
      <c r="DK710" s="93"/>
      <c r="DL710" s="93"/>
      <c r="DM710" s="93"/>
      <c r="DN710" s="93"/>
      <c r="DO710" s="93"/>
      <c r="DP710" s="93"/>
      <c r="DQ710" s="93"/>
      <c r="DR710" s="93"/>
      <c r="DS710" s="93"/>
      <c r="DT710" s="93"/>
      <c r="DU710" s="93"/>
      <c r="DV710" s="93"/>
      <c r="DW710" s="93"/>
      <c r="DX710" s="93"/>
      <c r="DY710" s="93"/>
      <c r="DZ710" s="93"/>
      <c r="EA710" s="93"/>
      <c r="EB710" s="93"/>
      <c r="EC710" s="93"/>
      <c r="ED710" s="93"/>
      <c r="EE710" s="93"/>
      <c r="EF710" s="93"/>
      <c r="EG710" s="93"/>
      <c r="EH710" s="93"/>
      <c r="EI710" s="93"/>
      <c r="EJ710" s="93"/>
      <c r="EK710" s="93"/>
      <c r="EL710" s="93"/>
      <c r="EM710" s="93"/>
      <c r="EN710" s="93"/>
      <c r="EO710" s="93"/>
      <c r="EP710" s="93"/>
      <c r="EQ710" s="93"/>
      <c r="ER710" s="93"/>
      <c r="ES710" s="93"/>
      <c r="ET710" s="93"/>
      <c r="EU710" s="93"/>
      <c r="EV710" s="93"/>
      <c r="EW710" s="93"/>
      <c r="EX710" s="93"/>
      <c r="EY710" s="93"/>
      <c r="EZ710" s="93"/>
      <c r="FA710" s="93"/>
      <c r="FB710" s="93"/>
      <c r="FC710" s="93"/>
      <c r="FD710" s="93"/>
      <c r="FE710" s="93"/>
      <c r="FF710" s="93"/>
    </row>
    <row r="711" spans="1:162" ht="15.75" customHeight="1">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93"/>
      <c r="DV711" s="93"/>
      <c r="DW711" s="93"/>
      <c r="DX711" s="93"/>
      <c r="DY711" s="93"/>
      <c r="DZ711" s="93"/>
      <c r="EA711" s="93"/>
      <c r="EB711" s="93"/>
      <c r="EC711" s="93"/>
      <c r="ED711" s="93"/>
      <c r="EE711" s="93"/>
      <c r="EF711" s="93"/>
      <c r="EG711" s="93"/>
      <c r="EH711" s="93"/>
      <c r="EI711" s="93"/>
      <c r="EJ711" s="93"/>
      <c r="EK711" s="93"/>
      <c r="EL711" s="93"/>
      <c r="EM711" s="93"/>
      <c r="EN711" s="93"/>
      <c r="EO711" s="93"/>
      <c r="EP711" s="93"/>
      <c r="EQ711" s="93"/>
      <c r="ER711" s="93"/>
      <c r="ES711" s="93"/>
      <c r="ET711" s="93"/>
      <c r="EU711" s="93"/>
      <c r="EV711" s="93"/>
      <c r="EW711" s="93"/>
      <c r="EX711" s="93"/>
      <c r="EY711" s="93"/>
      <c r="EZ711" s="93"/>
      <c r="FA711" s="93"/>
      <c r="FB711" s="93"/>
      <c r="FC711" s="93"/>
      <c r="FD711" s="93"/>
      <c r="FE711" s="93"/>
      <c r="FF711" s="93"/>
    </row>
    <row r="712" spans="1:162" ht="15.75" customHeight="1">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c r="CM712" s="93"/>
      <c r="CN712" s="93"/>
      <c r="CO712" s="93"/>
      <c r="CP712" s="93"/>
      <c r="CQ712" s="93"/>
      <c r="CR712" s="93"/>
      <c r="CS712" s="93"/>
      <c r="CT712" s="93"/>
      <c r="CU712" s="93"/>
      <c r="CV712" s="93"/>
      <c r="CW712" s="93"/>
      <c r="CX712" s="93"/>
      <c r="CY712" s="93"/>
      <c r="CZ712" s="93"/>
      <c r="DA712" s="93"/>
      <c r="DB712" s="93"/>
      <c r="DC712" s="93"/>
      <c r="DD712" s="93"/>
      <c r="DE712" s="93"/>
      <c r="DF712" s="93"/>
      <c r="DG712" s="93"/>
      <c r="DH712" s="93"/>
      <c r="DI712" s="93"/>
      <c r="DJ712" s="93"/>
      <c r="DK712" s="93"/>
      <c r="DL712" s="93"/>
      <c r="DM712" s="93"/>
      <c r="DN712" s="93"/>
      <c r="DO712" s="93"/>
      <c r="DP712" s="93"/>
      <c r="DQ712" s="93"/>
      <c r="DR712" s="93"/>
      <c r="DS712" s="93"/>
      <c r="DT712" s="93"/>
      <c r="DU712" s="93"/>
      <c r="DV712" s="93"/>
      <c r="DW712" s="93"/>
      <c r="DX712" s="93"/>
      <c r="DY712" s="93"/>
      <c r="DZ712" s="93"/>
      <c r="EA712" s="93"/>
      <c r="EB712" s="93"/>
      <c r="EC712" s="93"/>
      <c r="ED712" s="93"/>
      <c r="EE712" s="93"/>
      <c r="EF712" s="93"/>
      <c r="EG712" s="93"/>
      <c r="EH712" s="93"/>
      <c r="EI712" s="93"/>
      <c r="EJ712" s="93"/>
      <c r="EK712" s="93"/>
      <c r="EL712" s="93"/>
      <c r="EM712" s="93"/>
      <c r="EN712" s="93"/>
      <c r="EO712" s="93"/>
      <c r="EP712" s="93"/>
      <c r="EQ712" s="93"/>
      <c r="ER712" s="93"/>
      <c r="ES712" s="93"/>
      <c r="ET712" s="93"/>
      <c r="EU712" s="93"/>
      <c r="EV712" s="93"/>
      <c r="EW712" s="93"/>
      <c r="EX712" s="93"/>
      <c r="EY712" s="93"/>
      <c r="EZ712" s="93"/>
      <c r="FA712" s="93"/>
      <c r="FB712" s="93"/>
      <c r="FC712" s="93"/>
      <c r="FD712" s="93"/>
      <c r="FE712" s="93"/>
      <c r="FF712" s="93"/>
    </row>
    <row r="713" spans="1:162" ht="15.75" customHeight="1">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93"/>
      <c r="DV713" s="93"/>
      <c r="DW713" s="93"/>
      <c r="DX713" s="93"/>
      <c r="DY713" s="93"/>
      <c r="DZ713" s="93"/>
      <c r="EA713" s="93"/>
      <c r="EB713" s="93"/>
      <c r="EC713" s="93"/>
      <c r="ED713" s="93"/>
      <c r="EE713" s="93"/>
      <c r="EF713" s="93"/>
      <c r="EG713" s="93"/>
      <c r="EH713" s="93"/>
      <c r="EI713" s="93"/>
      <c r="EJ713" s="93"/>
      <c r="EK713" s="93"/>
      <c r="EL713" s="93"/>
      <c r="EM713" s="93"/>
      <c r="EN713" s="93"/>
      <c r="EO713" s="93"/>
      <c r="EP713" s="93"/>
      <c r="EQ713" s="93"/>
      <c r="ER713" s="93"/>
      <c r="ES713" s="93"/>
      <c r="ET713" s="93"/>
      <c r="EU713" s="93"/>
      <c r="EV713" s="93"/>
      <c r="EW713" s="93"/>
      <c r="EX713" s="93"/>
      <c r="EY713" s="93"/>
      <c r="EZ713" s="93"/>
      <c r="FA713" s="93"/>
      <c r="FB713" s="93"/>
      <c r="FC713" s="93"/>
      <c r="FD713" s="93"/>
      <c r="FE713" s="93"/>
      <c r="FF713" s="93"/>
    </row>
    <row r="714" spans="1:162" ht="15.75" customHeight="1">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c r="CM714" s="93"/>
      <c r="CN714" s="93"/>
      <c r="CO714" s="93"/>
      <c r="CP714" s="93"/>
      <c r="CQ714" s="93"/>
      <c r="CR714" s="93"/>
      <c r="CS714" s="93"/>
      <c r="CT714" s="93"/>
      <c r="CU714" s="93"/>
      <c r="CV714" s="93"/>
      <c r="CW714" s="93"/>
      <c r="CX714" s="93"/>
      <c r="CY714" s="93"/>
      <c r="CZ714" s="93"/>
      <c r="DA714" s="93"/>
      <c r="DB714" s="93"/>
      <c r="DC714" s="93"/>
      <c r="DD714" s="93"/>
      <c r="DE714" s="93"/>
      <c r="DF714" s="93"/>
      <c r="DG714" s="93"/>
      <c r="DH714" s="93"/>
      <c r="DI714" s="93"/>
      <c r="DJ714" s="93"/>
      <c r="DK714" s="93"/>
      <c r="DL714" s="93"/>
      <c r="DM714" s="93"/>
      <c r="DN714" s="93"/>
      <c r="DO714" s="93"/>
      <c r="DP714" s="93"/>
      <c r="DQ714" s="93"/>
      <c r="DR714" s="93"/>
      <c r="DS714" s="93"/>
      <c r="DT714" s="93"/>
      <c r="DU714" s="93"/>
      <c r="DV714" s="93"/>
      <c r="DW714" s="93"/>
      <c r="DX714" s="93"/>
      <c r="DY714" s="93"/>
      <c r="DZ714" s="93"/>
      <c r="EA714" s="93"/>
      <c r="EB714" s="93"/>
      <c r="EC714" s="93"/>
      <c r="ED714" s="93"/>
      <c r="EE714" s="93"/>
      <c r="EF714" s="93"/>
      <c r="EG714" s="93"/>
      <c r="EH714" s="93"/>
      <c r="EI714" s="93"/>
      <c r="EJ714" s="93"/>
      <c r="EK714" s="93"/>
      <c r="EL714" s="93"/>
      <c r="EM714" s="93"/>
      <c r="EN714" s="93"/>
      <c r="EO714" s="93"/>
      <c r="EP714" s="93"/>
      <c r="EQ714" s="93"/>
      <c r="ER714" s="93"/>
      <c r="ES714" s="93"/>
      <c r="ET714" s="93"/>
      <c r="EU714" s="93"/>
      <c r="EV714" s="93"/>
      <c r="EW714" s="93"/>
      <c r="EX714" s="93"/>
      <c r="EY714" s="93"/>
      <c r="EZ714" s="93"/>
      <c r="FA714" s="93"/>
      <c r="FB714" s="93"/>
      <c r="FC714" s="93"/>
      <c r="FD714" s="93"/>
      <c r="FE714" s="93"/>
      <c r="FF714" s="93"/>
    </row>
    <row r="715" spans="1:162" ht="15.75" customHeight="1">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H715" s="93"/>
      <c r="EI715" s="93"/>
      <c r="EJ715" s="93"/>
      <c r="EK715" s="93"/>
      <c r="EL715" s="93"/>
      <c r="EM715" s="93"/>
      <c r="EN715" s="93"/>
      <c r="EO715" s="93"/>
      <c r="EP715" s="93"/>
      <c r="EQ715" s="93"/>
      <c r="ER715" s="93"/>
      <c r="ES715" s="93"/>
      <c r="ET715" s="93"/>
      <c r="EU715" s="93"/>
      <c r="EV715" s="93"/>
      <c r="EW715" s="93"/>
      <c r="EX715" s="93"/>
      <c r="EY715" s="93"/>
      <c r="EZ715" s="93"/>
      <c r="FA715" s="93"/>
      <c r="FB715" s="93"/>
      <c r="FC715" s="93"/>
      <c r="FD715" s="93"/>
      <c r="FE715" s="93"/>
      <c r="FF715" s="93"/>
    </row>
    <row r="716" spans="1:162" ht="15.75" customHeight="1">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c r="CM716" s="93"/>
      <c r="CN716" s="93"/>
      <c r="CO716" s="93"/>
      <c r="CP716" s="93"/>
      <c r="CQ716" s="93"/>
      <c r="CR716" s="93"/>
      <c r="CS716" s="93"/>
      <c r="CT716" s="93"/>
      <c r="CU716" s="93"/>
      <c r="CV716" s="93"/>
      <c r="CW716" s="93"/>
      <c r="CX716" s="93"/>
      <c r="CY716" s="93"/>
      <c r="CZ716" s="93"/>
      <c r="DA716" s="93"/>
      <c r="DB716" s="93"/>
      <c r="DC716" s="93"/>
      <c r="DD716" s="93"/>
      <c r="DE716" s="93"/>
      <c r="DF716" s="93"/>
      <c r="DG716" s="93"/>
      <c r="DH716" s="93"/>
      <c r="DI716" s="93"/>
      <c r="DJ716" s="93"/>
      <c r="DK716" s="93"/>
      <c r="DL716" s="93"/>
      <c r="DM716" s="93"/>
      <c r="DN716" s="93"/>
      <c r="DO716" s="93"/>
      <c r="DP716" s="93"/>
      <c r="DQ716" s="93"/>
      <c r="DR716" s="93"/>
      <c r="DS716" s="93"/>
      <c r="DT716" s="93"/>
      <c r="DU716" s="93"/>
      <c r="DV716" s="93"/>
      <c r="DW716" s="93"/>
      <c r="DX716" s="93"/>
      <c r="DY716" s="93"/>
      <c r="DZ716" s="93"/>
      <c r="EA716" s="93"/>
      <c r="EB716" s="93"/>
      <c r="EC716" s="93"/>
      <c r="ED716" s="93"/>
      <c r="EE716" s="93"/>
      <c r="EF716" s="93"/>
      <c r="EG716" s="93"/>
      <c r="EH716" s="93"/>
      <c r="EI716" s="93"/>
      <c r="EJ716" s="93"/>
      <c r="EK716" s="93"/>
      <c r="EL716" s="93"/>
      <c r="EM716" s="93"/>
      <c r="EN716" s="93"/>
      <c r="EO716" s="93"/>
      <c r="EP716" s="93"/>
      <c r="EQ716" s="93"/>
      <c r="ER716" s="93"/>
      <c r="ES716" s="93"/>
      <c r="ET716" s="93"/>
      <c r="EU716" s="93"/>
      <c r="EV716" s="93"/>
      <c r="EW716" s="93"/>
      <c r="EX716" s="93"/>
      <c r="EY716" s="93"/>
      <c r="EZ716" s="93"/>
      <c r="FA716" s="93"/>
      <c r="FB716" s="93"/>
      <c r="FC716" s="93"/>
      <c r="FD716" s="93"/>
      <c r="FE716" s="93"/>
      <c r="FF716" s="93"/>
    </row>
    <row r="717" spans="1:162" ht="15.75" customHeight="1">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c r="CM717" s="93"/>
      <c r="CN717" s="93"/>
      <c r="CO717" s="93"/>
      <c r="CP717" s="93"/>
      <c r="CQ717" s="93"/>
      <c r="CR717" s="93"/>
      <c r="CS717" s="93"/>
      <c r="CT717" s="93"/>
      <c r="CU717" s="93"/>
      <c r="CV717" s="93"/>
      <c r="CW717" s="93"/>
      <c r="CX717" s="93"/>
      <c r="CY717" s="93"/>
      <c r="CZ717" s="93"/>
      <c r="DA717" s="93"/>
      <c r="DB717" s="93"/>
      <c r="DC717" s="93"/>
      <c r="DD717" s="93"/>
      <c r="DE717" s="93"/>
      <c r="DF717" s="93"/>
      <c r="DG717" s="93"/>
      <c r="DH717" s="93"/>
      <c r="DI717" s="93"/>
      <c r="DJ717" s="93"/>
      <c r="DK717" s="93"/>
      <c r="DL717" s="93"/>
      <c r="DM717" s="93"/>
      <c r="DN717" s="93"/>
      <c r="DO717" s="93"/>
      <c r="DP717" s="93"/>
      <c r="DQ717" s="93"/>
      <c r="DR717" s="93"/>
      <c r="DS717" s="93"/>
      <c r="DT717" s="93"/>
      <c r="DU717" s="93"/>
      <c r="DV717" s="93"/>
      <c r="DW717" s="93"/>
      <c r="DX717" s="93"/>
      <c r="DY717" s="93"/>
      <c r="DZ717" s="93"/>
      <c r="EA717" s="93"/>
      <c r="EB717" s="93"/>
      <c r="EC717" s="93"/>
      <c r="ED717" s="93"/>
      <c r="EE717" s="93"/>
      <c r="EF717" s="93"/>
      <c r="EG717" s="93"/>
      <c r="EH717" s="93"/>
      <c r="EI717" s="93"/>
      <c r="EJ717" s="93"/>
      <c r="EK717" s="93"/>
      <c r="EL717" s="93"/>
      <c r="EM717" s="93"/>
      <c r="EN717" s="93"/>
      <c r="EO717" s="93"/>
      <c r="EP717" s="93"/>
      <c r="EQ717" s="93"/>
      <c r="ER717" s="93"/>
      <c r="ES717" s="93"/>
      <c r="ET717" s="93"/>
      <c r="EU717" s="93"/>
      <c r="EV717" s="93"/>
      <c r="EW717" s="93"/>
      <c r="EX717" s="93"/>
      <c r="EY717" s="93"/>
      <c r="EZ717" s="93"/>
      <c r="FA717" s="93"/>
      <c r="FB717" s="93"/>
      <c r="FC717" s="93"/>
      <c r="FD717" s="93"/>
      <c r="FE717" s="93"/>
      <c r="FF717" s="93"/>
    </row>
    <row r="718" spans="1:162" ht="15.75" customHeight="1">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c r="CM718" s="93"/>
      <c r="CN718" s="93"/>
      <c r="CO718" s="93"/>
      <c r="CP718" s="93"/>
      <c r="CQ718" s="93"/>
      <c r="CR718" s="93"/>
      <c r="CS718" s="93"/>
      <c r="CT718" s="93"/>
      <c r="CU718" s="93"/>
      <c r="CV718" s="93"/>
      <c r="CW718" s="93"/>
      <c r="CX718" s="93"/>
      <c r="CY718" s="93"/>
      <c r="CZ718" s="93"/>
      <c r="DA718" s="93"/>
      <c r="DB718" s="93"/>
      <c r="DC718" s="93"/>
      <c r="DD718" s="93"/>
      <c r="DE718" s="93"/>
      <c r="DF718" s="93"/>
      <c r="DG718" s="93"/>
      <c r="DH718" s="93"/>
      <c r="DI718" s="93"/>
      <c r="DJ718" s="93"/>
      <c r="DK718" s="93"/>
      <c r="DL718" s="93"/>
      <c r="DM718" s="93"/>
      <c r="DN718" s="93"/>
      <c r="DO718" s="93"/>
      <c r="DP718" s="93"/>
      <c r="DQ718" s="93"/>
      <c r="DR718" s="93"/>
      <c r="DS718" s="93"/>
      <c r="DT718" s="93"/>
      <c r="DU718" s="93"/>
      <c r="DV718" s="93"/>
      <c r="DW718" s="93"/>
      <c r="DX718" s="93"/>
      <c r="DY718" s="93"/>
      <c r="DZ718" s="93"/>
      <c r="EA718" s="93"/>
      <c r="EB718" s="93"/>
      <c r="EC718" s="93"/>
      <c r="ED718" s="93"/>
      <c r="EE718" s="93"/>
      <c r="EF718" s="93"/>
      <c r="EG718" s="93"/>
      <c r="EH718" s="93"/>
      <c r="EI718" s="93"/>
      <c r="EJ718" s="93"/>
      <c r="EK718" s="93"/>
      <c r="EL718" s="93"/>
      <c r="EM718" s="93"/>
      <c r="EN718" s="93"/>
      <c r="EO718" s="93"/>
      <c r="EP718" s="93"/>
      <c r="EQ718" s="93"/>
      <c r="ER718" s="93"/>
      <c r="ES718" s="93"/>
      <c r="ET718" s="93"/>
      <c r="EU718" s="93"/>
      <c r="EV718" s="93"/>
      <c r="EW718" s="93"/>
      <c r="EX718" s="93"/>
      <c r="EY718" s="93"/>
      <c r="EZ718" s="93"/>
      <c r="FA718" s="93"/>
      <c r="FB718" s="93"/>
      <c r="FC718" s="93"/>
      <c r="FD718" s="93"/>
      <c r="FE718" s="93"/>
      <c r="FF718" s="93"/>
    </row>
    <row r="719" spans="1:162" ht="15.75" customHeight="1">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c r="CM719" s="93"/>
      <c r="CN719" s="93"/>
      <c r="CO719" s="93"/>
      <c r="CP719" s="93"/>
      <c r="CQ719" s="93"/>
      <c r="CR719" s="93"/>
      <c r="CS719" s="93"/>
      <c r="CT719" s="93"/>
      <c r="CU719" s="93"/>
      <c r="CV719" s="93"/>
      <c r="CW719" s="93"/>
      <c r="CX719" s="93"/>
      <c r="CY719" s="93"/>
      <c r="CZ719" s="93"/>
      <c r="DA719" s="93"/>
      <c r="DB719" s="93"/>
      <c r="DC719" s="93"/>
      <c r="DD719" s="93"/>
      <c r="DE719" s="93"/>
      <c r="DF719" s="93"/>
      <c r="DG719" s="93"/>
      <c r="DH719" s="93"/>
      <c r="DI719" s="93"/>
      <c r="DJ719" s="93"/>
      <c r="DK719" s="93"/>
      <c r="DL719" s="93"/>
      <c r="DM719" s="93"/>
      <c r="DN719" s="93"/>
      <c r="DO719" s="93"/>
      <c r="DP719" s="93"/>
      <c r="DQ719" s="93"/>
      <c r="DR719" s="93"/>
      <c r="DS719" s="93"/>
      <c r="DT719" s="93"/>
      <c r="DU719" s="93"/>
      <c r="DV719" s="93"/>
      <c r="DW719" s="93"/>
      <c r="DX719" s="93"/>
      <c r="DY719" s="93"/>
      <c r="DZ719" s="93"/>
      <c r="EA719" s="93"/>
      <c r="EB719" s="93"/>
      <c r="EC719" s="93"/>
      <c r="ED719" s="93"/>
      <c r="EE719" s="93"/>
      <c r="EF719" s="93"/>
      <c r="EG719" s="93"/>
      <c r="EH719" s="93"/>
      <c r="EI719" s="93"/>
      <c r="EJ719" s="93"/>
      <c r="EK719" s="93"/>
      <c r="EL719" s="93"/>
      <c r="EM719" s="93"/>
      <c r="EN719" s="93"/>
      <c r="EO719" s="93"/>
      <c r="EP719" s="93"/>
      <c r="EQ719" s="93"/>
      <c r="ER719" s="93"/>
      <c r="ES719" s="93"/>
      <c r="ET719" s="93"/>
      <c r="EU719" s="93"/>
      <c r="EV719" s="93"/>
      <c r="EW719" s="93"/>
      <c r="EX719" s="93"/>
      <c r="EY719" s="93"/>
      <c r="EZ719" s="93"/>
      <c r="FA719" s="93"/>
      <c r="FB719" s="93"/>
      <c r="FC719" s="93"/>
      <c r="FD719" s="93"/>
      <c r="FE719" s="93"/>
      <c r="FF719" s="93"/>
    </row>
    <row r="720" spans="1:162" ht="15.75" customHeight="1">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c r="CM720" s="93"/>
      <c r="CN720" s="93"/>
      <c r="CO720" s="93"/>
      <c r="CP720" s="93"/>
      <c r="CQ720" s="93"/>
      <c r="CR720" s="93"/>
      <c r="CS720" s="93"/>
      <c r="CT720" s="93"/>
      <c r="CU720" s="93"/>
      <c r="CV720" s="93"/>
      <c r="CW720" s="93"/>
      <c r="CX720" s="93"/>
      <c r="CY720" s="93"/>
      <c r="CZ720" s="93"/>
      <c r="DA720" s="93"/>
      <c r="DB720" s="93"/>
      <c r="DC720" s="93"/>
      <c r="DD720" s="93"/>
      <c r="DE720" s="93"/>
      <c r="DF720" s="93"/>
      <c r="DG720" s="93"/>
      <c r="DH720" s="93"/>
      <c r="DI720" s="93"/>
      <c r="DJ720" s="93"/>
      <c r="DK720" s="93"/>
      <c r="DL720" s="93"/>
      <c r="DM720" s="93"/>
      <c r="DN720" s="93"/>
      <c r="DO720" s="93"/>
      <c r="DP720" s="93"/>
      <c r="DQ720" s="93"/>
      <c r="DR720" s="93"/>
      <c r="DS720" s="93"/>
      <c r="DT720" s="93"/>
      <c r="DU720" s="93"/>
      <c r="DV720" s="93"/>
      <c r="DW720" s="93"/>
      <c r="DX720" s="93"/>
      <c r="DY720" s="93"/>
      <c r="DZ720" s="93"/>
      <c r="EA720" s="93"/>
      <c r="EB720" s="93"/>
      <c r="EC720" s="93"/>
      <c r="ED720" s="93"/>
      <c r="EE720" s="93"/>
      <c r="EF720" s="93"/>
      <c r="EG720" s="93"/>
      <c r="EH720" s="93"/>
      <c r="EI720" s="93"/>
      <c r="EJ720" s="93"/>
      <c r="EK720" s="93"/>
      <c r="EL720" s="93"/>
      <c r="EM720" s="93"/>
      <c r="EN720" s="93"/>
      <c r="EO720" s="93"/>
      <c r="EP720" s="93"/>
      <c r="EQ720" s="93"/>
      <c r="ER720" s="93"/>
      <c r="ES720" s="93"/>
      <c r="ET720" s="93"/>
      <c r="EU720" s="93"/>
      <c r="EV720" s="93"/>
      <c r="EW720" s="93"/>
      <c r="EX720" s="93"/>
      <c r="EY720" s="93"/>
      <c r="EZ720" s="93"/>
      <c r="FA720" s="93"/>
      <c r="FB720" s="93"/>
      <c r="FC720" s="93"/>
      <c r="FD720" s="93"/>
      <c r="FE720" s="93"/>
      <c r="FF720" s="93"/>
    </row>
    <row r="721" spans="1:162" ht="15.75" customHeight="1">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c r="CM721" s="93"/>
      <c r="CN721" s="93"/>
      <c r="CO721" s="93"/>
      <c r="CP721" s="93"/>
      <c r="CQ721" s="93"/>
      <c r="CR721" s="93"/>
      <c r="CS721" s="93"/>
      <c r="CT721" s="93"/>
      <c r="CU721" s="93"/>
      <c r="CV721" s="93"/>
      <c r="CW721" s="93"/>
      <c r="CX721" s="93"/>
      <c r="CY721" s="93"/>
      <c r="CZ721" s="93"/>
      <c r="DA721" s="93"/>
      <c r="DB721" s="93"/>
      <c r="DC721" s="93"/>
      <c r="DD721" s="93"/>
      <c r="DE721" s="93"/>
      <c r="DF721" s="93"/>
      <c r="DG721" s="93"/>
      <c r="DH721" s="93"/>
      <c r="DI721" s="93"/>
      <c r="DJ721" s="93"/>
      <c r="DK721" s="93"/>
      <c r="DL721" s="93"/>
      <c r="DM721" s="93"/>
      <c r="DN721" s="93"/>
      <c r="DO721" s="93"/>
      <c r="DP721" s="93"/>
      <c r="DQ721" s="93"/>
      <c r="DR721" s="93"/>
      <c r="DS721" s="93"/>
      <c r="DT721" s="93"/>
      <c r="DU721" s="93"/>
      <c r="DV721" s="93"/>
      <c r="DW721" s="93"/>
      <c r="DX721" s="93"/>
      <c r="DY721" s="93"/>
      <c r="DZ721" s="93"/>
      <c r="EA721" s="93"/>
      <c r="EB721" s="93"/>
      <c r="EC721" s="93"/>
      <c r="ED721" s="93"/>
      <c r="EE721" s="93"/>
      <c r="EF721" s="93"/>
      <c r="EG721" s="93"/>
      <c r="EH721" s="93"/>
      <c r="EI721" s="93"/>
      <c r="EJ721" s="93"/>
      <c r="EK721" s="93"/>
      <c r="EL721" s="93"/>
      <c r="EM721" s="93"/>
      <c r="EN721" s="93"/>
      <c r="EO721" s="93"/>
      <c r="EP721" s="93"/>
      <c r="EQ721" s="93"/>
      <c r="ER721" s="93"/>
      <c r="ES721" s="93"/>
      <c r="ET721" s="93"/>
      <c r="EU721" s="93"/>
      <c r="EV721" s="93"/>
      <c r="EW721" s="93"/>
      <c r="EX721" s="93"/>
      <c r="EY721" s="93"/>
      <c r="EZ721" s="93"/>
      <c r="FA721" s="93"/>
      <c r="FB721" s="93"/>
      <c r="FC721" s="93"/>
      <c r="FD721" s="93"/>
      <c r="FE721" s="93"/>
      <c r="FF721" s="93"/>
    </row>
    <row r="722" spans="1:162" ht="15.75" customHeight="1">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c r="CM722" s="93"/>
      <c r="CN722" s="93"/>
      <c r="CO722" s="93"/>
      <c r="CP722" s="93"/>
      <c r="CQ722" s="93"/>
      <c r="CR722" s="93"/>
      <c r="CS722" s="93"/>
      <c r="CT722" s="93"/>
      <c r="CU722" s="93"/>
      <c r="CV722" s="93"/>
      <c r="CW722" s="93"/>
      <c r="CX722" s="93"/>
      <c r="CY722" s="93"/>
      <c r="CZ722" s="93"/>
      <c r="DA722" s="93"/>
      <c r="DB722" s="93"/>
      <c r="DC722" s="93"/>
      <c r="DD722" s="93"/>
      <c r="DE722" s="93"/>
      <c r="DF722" s="93"/>
      <c r="DG722" s="93"/>
      <c r="DH722" s="93"/>
      <c r="DI722" s="93"/>
      <c r="DJ722" s="93"/>
      <c r="DK722" s="93"/>
      <c r="DL722" s="93"/>
      <c r="DM722" s="93"/>
      <c r="DN722" s="93"/>
      <c r="DO722" s="93"/>
      <c r="DP722" s="93"/>
      <c r="DQ722" s="93"/>
      <c r="DR722" s="93"/>
      <c r="DS722" s="93"/>
      <c r="DT722" s="93"/>
      <c r="DU722" s="93"/>
      <c r="DV722" s="93"/>
      <c r="DW722" s="93"/>
      <c r="DX722" s="93"/>
      <c r="DY722" s="93"/>
      <c r="DZ722" s="93"/>
      <c r="EA722" s="93"/>
      <c r="EB722" s="93"/>
      <c r="EC722" s="93"/>
      <c r="ED722" s="93"/>
      <c r="EE722" s="93"/>
      <c r="EF722" s="93"/>
      <c r="EG722" s="93"/>
      <c r="EH722" s="93"/>
      <c r="EI722" s="93"/>
      <c r="EJ722" s="93"/>
      <c r="EK722" s="93"/>
      <c r="EL722" s="93"/>
      <c r="EM722" s="93"/>
      <c r="EN722" s="93"/>
      <c r="EO722" s="93"/>
      <c r="EP722" s="93"/>
      <c r="EQ722" s="93"/>
      <c r="ER722" s="93"/>
      <c r="ES722" s="93"/>
      <c r="ET722" s="93"/>
      <c r="EU722" s="93"/>
      <c r="EV722" s="93"/>
      <c r="EW722" s="93"/>
      <c r="EX722" s="93"/>
      <c r="EY722" s="93"/>
      <c r="EZ722" s="93"/>
      <c r="FA722" s="93"/>
      <c r="FB722" s="93"/>
      <c r="FC722" s="93"/>
      <c r="FD722" s="93"/>
      <c r="FE722" s="93"/>
      <c r="FF722" s="93"/>
    </row>
    <row r="723" spans="1:162" ht="15.75" customHeight="1">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c r="CM723" s="93"/>
      <c r="CN723" s="93"/>
      <c r="CO723" s="93"/>
      <c r="CP723" s="93"/>
      <c r="CQ723" s="93"/>
      <c r="CR723" s="93"/>
      <c r="CS723" s="93"/>
      <c r="CT723" s="93"/>
      <c r="CU723" s="93"/>
      <c r="CV723" s="93"/>
      <c r="CW723" s="93"/>
      <c r="CX723" s="93"/>
      <c r="CY723" s="93"/>
      <c r="CZ723" s="93"/>
      <c r="DA723" s="93"/>
      <c r="DB723" s="93"/>
      <c r="DC723" s="93"/>
      <c r="DD723" s="93"/>
      <c r="DE723" s="93"/>
      <c r="DF723" s="93"/>
      <c r="DG723" s="93"/>
      <c r="DH723" s="93"/>
      <c r="DI723" s="93"/>
      <c r="DJ723" s="93"/>
      <c r="DK723" s="93"/>
      <c r="DL723" s="93"/>
      <c r="DM723" s="93"/>
      <c r="DN723" s="93"/>
      <c r="DO723" s="93"/>
      <c r="DP723" s="93"/>
      <c r="DQ723" s="93"/>
      <c r="DR723" s="93"/>
      <c r="DS723" s="93"/>
      <c r="DT723" s="93"/>
      <c r="DU723" s="93"/>
      <c r="DV723" s="93"/>
      <c r="DW723" s="93"/>
      <c r="DX723" s="93"/>
      <c r="DY723" s="93"/>
      <c r="DZ723" s="93"/>
      <c r="EA723" s="93"/>
      <c r="EB723" s="93"/>
      <c r="EC723" s="93"/>
      <c r="ED723" s="93"/>
      <c r="EE723" s="93"/>
      <c r="EF723" s="93"/>
      <c r="EG723" s="93"/>
      <c r="EH723" s="93"/>
      <c r="EI723" s="93"/>
      <c r="EJ723" s="93"/>
      <c r="EK723" s="93"/>
      <c r="EL723" s="93"/>
      <c r="EM723" s="93"/>
      <c r="EN723" s="93"/>
      <c r="EO723" s="93"/>
      <c r="EP723" s="93"/>
      <c r="EQ723" s="93"/>
      <c r="ER723" s="93"/>
      <c r="ES723" s="93"/>
      <c r="ET723" s="93"/>
      <c r="EU723" s="93"/>
      <c r="EV723" s="93"/>
      <c r="EW723" s="93"/>
      <c r="EX723" s="93"/>
      <c r="EY723" s="93"/>
      <c r="EZ723" s="93"/>
      <c r="FA723" s="93"/>
      <c r="FB723" s="93"/>
      <c r="FC723" s="93"/>
      <c r="FD723" s="93"/>
      <c r="FE723" s="93"/>
      <c r="FF723" s="93"/>
    </row>
    <row r="724" spans="1:162" ht="15.75" customHeight="1">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c r="CM724" s="93"/>
      <c r="CN724" s="93"/>
      <c r="CO724" s="93"/>
      <c r="CP724" s="93"/>
      <c r="CQ724" s="93"/>
      <c r="CR724" s="93"/>
      <c r="CS724" s="93"/>
      <c r="CT724" s="93"/>
      <c r="CU724" s="93"/>
      <c r="CV724" s="93"/>
      <c r="CW724" s="93"/>
      <c r="CX724" s="93"/>
      <c r="CY724" s="93"/>
      <c r="CZ724" s="93"/>
      <c r="DA724" s="93"/>
      <c r="DB724" s="93"/>
      <c r="DC724" s="93"/>
      <c r="DD724" s="93"/>
      <c r="DE724" s="93"/>
      <c r="DF724" s="93"/>
      <c r="DG724" s="93"/>
      <c r="DH724" s="93"/>
      <c r="DI724" s="93"/>
      <c r="DJ724" s="93"/>
      <c r="DK724" s="93"/>
      <c r="DL724" s="93"/>
      <c r="DM724" s="93"/>
      <c r="DN724" s="93"/>
      <c r="DO724" s="93"/>
      <c r="DP724" s="93"/>
      <c r="DQ724" s="93"/>
      <c r="DR724" s="93"/>
      <c r="DS724" s="93"/>
      <c r="DT724" s="93"/>
      <c r="DU724" s="93"/>
      <c r="DV724" s="93"/>
      <c r="DW724" s="93"/>
      <c r="DX724" s="93"/>
      <c r="DY724" s="93"/>
      <c r="DZ724" s="93"/>
      <c r="EA724" s="93"/>
      <c r="EB724" s="93"/>
      <c r="EC724" s="93"/>
      <c r="ED724" s="93"/>
      <c r="EE724" s="93"/>
      <c r="EF724" s="93"/>
      <c r="EG724" s="93"/>
      <c r="EH724" s="93"/>
      <c r="EI724" s="93"/>
      <c r="EJ724" s="93"/>
      <c r="EK724" s="93"/>
      <c r="EL724" s="93"/>
      <c r="EM724" s="93"/>
      <c r="EN724" s="93"/>
      <c r="EO724" s="93"/>
      <c r="EP724" s="93"/>
      <c r="EQ724" s="93"/>
      <c r="ER724" s="93"/>
      <c r="ES724" s="93"/>
      <c r="ET724" s="93"/>
      <c r="EU724" s="93"/>
      <c r="EV724" s="93"/>
      <c r="EW724" s="93"/>
      <c r="EX724" s="93"/>
      <c r="EY724" s="93"/>
      <c r="EZ724" s="93"/>
      <c r="FA724" s="93"/>
      <c r="FB724" s="93"/>
      <c r="FC724" s="93"/>
      <c r="FD724" s="93"/>
      <c r="FE724" s="93"/>
      <c r="FF724" s="93"/>
    </row>
    <row r="725" spans="1:162" ht="15.75" customHeight="1">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93"/>
      <c r="DI725" s="93"/>
      <c r="DJ725" s="93"/>
      <c r="DK725" s="93"/>
      <c r="DL725" s="93"/>
      <c r="DM725" s="93"/>
      <c r="DN725" s="93"/>
      <c r="DO725" s="93"/>
      <c r="DP725" s="93"/>
      <c r="DQ725" s="93"/>
      <c r="DR725" s="93"/>
      <c r="DS725" s="93"/>
      <c r="DT725" s="93"/>
      <c r="DU725" s="93"/>
      <c r="DV725" s="93"/>
      <c r="DW725" s="93"/>
      <c r="DX725" s="93"/>
      <c r="DY725" s="93"/>
      <c r="DZ725" s="93"/>
      <c r="EA725" s="93"/>
      <c r="EB725" s="93"/>
      <c r="EC725" s="93"/>
      <c r="ED725" s="93"/>
      <c r="EE725" s="93"/>
      <c r="EF725" s="93"/>
      <c r="EG725" s="93"/>
      <c r="EH725" s="93"/>
      <c r="EI725" s="93"/>
      <c r="EJ725" s="93"/>
      <c r="EK725" s="93"/>
      <c r="EL725" s="93"/>
      <c r="EM725" s="93"/>
      <c r="EN725" s="93"/>
      <c r="EO725" s="93"/>
      <c r="EP725" s="93"/>
      <c r="EQ725" s="93"/>
      <c r="ER725" s="93"/>
      <c r="ES725" s="93"/>
      <c r="ET725" s="93"/>
      <c r="EU725" s="93"/>
      <c r="EV725" s="93"/>
      <c r="EW725" s="93"/>
      <c r="EX725" s="93"/>
      <c r="EY725" s="93"/>
      <c r="EZ725" s="93"/>
      <c r="FA725" s="93"/>
      <c r="FB725" s="93"/>
      <c r="FC725" s="93"/>
      <c r="FD725" s="93"/>
      <c r="FE725" s="93"/>
      <c r="FF725" s="93"/>
    </row>
    <row r="726" spans="1:162" ht="15.75" customHeight="1">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c r="CM726" s="93"/>
      <c r="CN726" s="93"/>
      <c r="CO726" s="93"/>
      <c r="CP726" s="93"/>
      <c r="CQ726" s="93"/>
      <c r="CR726" s="93"/>
      <c r="CS726" s="93"/>
      <c r="CT726" s="93"/>
      <c r="CU726" s="93"/>
      <c r="CV726" s="93"/>
      <c r="CW726" s="93"/>
      <c r="CX726" s="93"/>
      <c r="CY726" s="93"/>
      <c r="CZ726" s="93"/>
      <c r="DA726" s="93"/>
      <c r="DB726" s="93"/>
      <c r="DC726" s="93"/>
      <c r="DD726" s="93"/>
      <c r="DE726" s="93"/>
      <c r="DF726" s="93"/>
      <c r="DG726" s="93"/>
      <c r="DH726" s="93"/>
      <c r="DI726" s="93"/>
      <c r="DJ726" s="93"/>
      <c r="DK726" s="93"/>
      <c r="DL726" s="93"/>
      <c r="DM726" s="93"/>
      <c r="DN726" s="93"/>
      <c r="DO726" s="93"/>
      <c r="DP726" s="93"/>
      <c r="DQ726" s="93"/>
      <c r="DR726" s="93"/>
      <c r="DS726" s="93"/>
      <c r="DT726" s="93"/>
      <c r="DU726" s="93"/>
      <c r="DV726" s="93"/>
      <c r="DW726" s="93"/>
      <c r="DX726" s="93"/>
      <c r="DY726" s="93"/>
      <c r="DZ726" s="93"/>
      <c r="EA726" s="93"/>
      <c r="EB726" s="93"/>
      <c r="EC726" s="93"/>
      <c r="ED726" s="93"/>
      <c r="EE726" s="93"/>
      <c r="EF726" s="93"/>
      <c r="EG726" s="93"/>
      <c r="EH726" s="93"/>
      <c r="EI726" s="93"/>
      <c r="EJ726" s="93"/>
      <c r="EK726" s="93"/>
      <c r="EL726" s="93"/>
      <c r="EM726" s="93"/>
      <c r="EN726" s="93"/>
      <c r="EO726" s="93"/>
      <c r="EP726" s="93"/>
      <c r="EQ726" s="93"/>
      <c r="ER726" s="93"/>
      <c r="ES726" s="93"/>
      <c r="ET726" s="93"/>
      <c r="EU726" s="93"/>
      <c r="EV726" s="93"/>
      <c r="EW726" s="93"/>
      <c r="EX726" s="93"/>
      <c r="EY726" s="93"/>
      <c r="EZ726" s="93"/>
      <c r="FA726" s="93"/>
      <c r="FB726" s="93"/>
      <c r="FC726" s="93"/>
      <c r="FD726" s="93"/>
      <c r="FE726" s="93"/>
      <c r="FF726" s="93"/>
    </row>
    <row r="727" spans="1:162" ht="15.75" customHeight="1">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c r="CM727" s="93"/>
      <c r="CN727" s="93"/>
      <c r="CO727" s="93"/>
      <c r="CP727" s="93"/>
      <c r="CQ727" s="93"/>
      <c r="CR727" s="93"/>
      <c r="CS727" s="93"/>
      <c r="CT727" s="93"/>
      <c r="CU727" s="93"/>
      <c r="CV727" s="93"/>
      <c r="CW727" s="93"/>
      <c r="CX727" s="93"/>
      <c r="CY727" s="93"/>
      <c r="CZ727" s="93"/>
      <c r="DA727" s="93"/>
      <c r="DB727" s="93"/>
      <c r="DC727" s="93"/>
      <c r="DD727" s="93"/>
      <c r="DE727" s="93"/>
      <c r="DF727" s="93"/>
      <c r="DG727" s="93"/>
      <c r="DH727" s="93"/>
      <c r="DI727" s="93"/>
      <c r="DJ727" s="93"/>
      <c r="DK727" s="93"/>
      <c r="DL727" s="93"/>
      <c r="DM727" s="93"/>
      <c r="DN727" s="93"/>
      <c r="DO727" s="93"/>
      <c r="DP727" s="93"/>
      <c r="DQ727" s="93"/>
      <c r="DR727" s="93"/>
      <c r="DS727" s="93"/>
      <c r="DT727" s="93"/>
      <c r="DU727" s="93"/>
      <c r="DV727" s="93"/>
      <c r="DW727" s="93"/>
      <c r="DX727" s="93"/>
      <c r="DY727" s="93"/>
      <c r="DZ727" s="93"/>
      <c r="EA727" s="93"/>
      <c r="EB727" s="93"/>
      <c r="EC727" s="93"/>
      <c r="ED727" s="93"/>
      <c r="EE727" s="93"/>
      <c r="EF727" s="93"/>
      <c r="EG727" s="93"/>
      <c r="EH727" s="93"/>
      <c r="EI727" s="93"/>
      <c r="EJ727" s="93"/>
      <c r="EK727" s="93"/>
      <c r="EL727" s="93"/>
      <c r="EM727" s="93"/>
      <c r="EN727" s="93"/>
      <c r="EO727" s="93"/>
      <c r="EP727" s="93"/>
      <c r="EQ727" s="93"/>
      <c r="ER727" s="93"/>
      <c r="ES727" s="93"/>
      <c r="ET727" s="93"/>
      <c r="EU727" s="93"/>
      <c r="EV727" s="93"/>
      <c r="EW727" s="93"/>
      <c r="EX727" s="93"/>
      <c r="EY727" s="93"/>
      <c r="EZ727" s="93"/>
      <c r="FA727" s="93"/>
      <c r="FB727" s="93"/>
      <c r="FC727" s="93"/>
      <c r="FD727" s="93"/>
      <c r="FE727" s="93"/>
      <c r="FF727" s="93"/>
    </row>
    <row r="728" spans="1:162" ht="15.75" customHeight="1">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c r="CM728" s="93"/>
      <c r="CN728" s="93"/>
      <c r="CO728" s="93"/>
      <c r="CP728" s="93"/>
      <c r="CQ728" s="93"/>
      <c r="CR728" s="93"/>
      <c r="CS728" s="93"/>
      <c r="CT728" s="93"/>
      <c r="CU728" s="93"/>
      <c r="CV728" s="93"/>
      <c r="CW728" s="93"/>
      <c r="CX728" s="93"/>
      <c r="CY728" s="93"/>
      <c r="CZ728" s="93"/>
      <c r="DA728" s="93"/>
      <c r="DB728" s="93"/>
      <c r="DC728" s="93"/>
      <c r="DD728" s="93"/>
      <c r="DE728" s="93"/>
      <c r="DF728" s="93"/>
      <c r="DG728" s="93"/>
      <c r="DH728" s="93"/>
      <c r="DI728" s="93"/>
      <c r="DJ728" s="93"/>
      <c r="DK728" s="93"/>
      <c r="DL728" s="93"/>
      <c r="DM728" s="93"/>
      <c r="DN728" s="93"/>
      <c r="DO728" s="93"/>
      <c r="DP728" s="93"/>
      <c r="DQ728" s="93"/>
      <c r="DR728" s="93"/>
      <c r="DS728" s="93"/>
      <c r="DT728" s="93"/>
      <c r="DU728" s="93"/>
      <c r="DV728" s="93"/>
      <c r="DW728" s="93"/>
      <c r="DX728" s="93"/>
      <c r="DY728" s="93"/>
      <c r="DZ728" s="93"/>
      <c r="EA728" s="93"/>
      <c r="EB728" s="93"/>
      <c r="EC728" s="93"/>
      <c r="ED728" s="93"/>
      <c r="EE728" s="93"/>
      <c r="EF728" s="93"/>
      <c r="EG728" s="93"/>
      <c r="EH728" s="93"/>
      <c r="EI728" s="93"/>
      <c r="EJ728" s="93"/>
      <c r="EK728" s="93"/>
      <c r="EL728" s="93"/>
      <c r="EM728" s="93"/>
      <c r="EN728" s="93"/>
      <c r="EO728" s="93"/>
      <c r="EP728" s="93"/>
      <c r="EQ728" s="93"/>
      <c r="ER728" s="93"/>
      <c r="ES728" s="93"/>
      <c r="ET728" s="93"/>
      <c r="EU728" s="93"/>
      <c r="EV728" s="93"/>
      <c r="EW728" s="93"/>
      <c r="EX728" s="93"/>
      <c r="EY728" s="93"/>
      <c r="EZ728" s="93"/>
      <c r="FA728" s="93"/>
      <c r="FB728" s="93"/>
      <c r="FC728" s="93"/>
      <c r="FD728" s="93"/>
      <c r="FE728" s="93"/>
      <c r="FF728" s="93"/>
    </row>
    <row r="729" spans="1:162" ht="15.75" customHeight="1">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93"/>
      <c r="DV729" s="93"/>
      <c r="DW729" s="93"/>
      <c r="DX729" s="93"/>
      <c r="DY729" s="93"/>
      <c r="DZ729" s="93"/>
      <c r="EA729" s="93"/>
      <c r="EB729" s="93"/>
      <c r="EC729" s="93"/>
      <c r="ED729" s="93"/>
      <c r="EE729" s="93"/>
      <c r="EF729" s="93"/>
      <c r="EG729" s="93"/>
      <c r="EH729" s="93"/>
      <c r="EI729" s="93"/>
      <c r="EJ729" s="93"/>
      <c r="EK729" s="93"/>
      <c r="EL729" s="93"/>
      <c r="EM729" s="93"/>
      <c r="EN729" s="93"/>
      <c r="EO729" s="93"/>
      <c r="EP729" s="93"/>
      <c r="EQ729" s="93"/>
      <c r="ER729" s="93"/>
      <c r="ES729" s="93"/>
      <c r="ET729" s="93"/>
      <c r="EU729" s="93"/>
      <c r="EV729" s="93"/>
      <c r="EW729" s="93"/>
      <c r="EX729" s="93"/>
      <c r="EY729" s="93"/>
      <c r="EZ729" s="93"/>
      <c r="FA729" s="93"/>
      <c r="FB729" s="93"/>
      <c r="FC729" s="93"/>
      <c r="FD729" s="93"/>
      <c r="FE729" s="93"/>
      <c r="FF729" s="93"/>
    </row>
    <row r="730" spans="1:162" ht="15.75" customHeight="1">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c r="CM730" s="93"/>
      <c r="CN730" s="93"/>
      <c r="CO730" s="93"/>
      <c r="CP730" s="93"/>
      <c r="CQ730" s="93"/>
      <c r="CR730" s="93"/>
      <c r="CS730" s="93"/>
      <c r="CT730" s="93"/>
      <c r="CU730" s="93"/>
      <c r="CV730" s="93"/>
      <c r="CW730" s="93"/>
      <c r="CX730" s="93"/>
      <c r="CY730" s="93"/>
      <c r="CZ730" s="93"/>
      <c r="DA730" s="93"/>
      <c r="DB730" s="93"/>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H730" s="93"/>
      <c r="EI730" s="93"/>
      <c r="EJ730" s="93"/>
      <c r="EK730" s="93"/>
      <c r="EL730" s="93"/>
      <c r="EM730" s="93"/>
      <c r="EN730" s="93"/>
      <c r="EO730" s="93"/>
      <c r="EP730" s="93"/>
      <c r="EQ730" s="93"/>
      <c r="ER730" s="93"/>
      <c r="ES730" s="93"/>
      <c r="ET730" s="93"/>
      <c r="EU730" s="93"/>
      <c r="EV730" s="93"/>
      <c r="EW730" s="93"/>
      <c r="EX730" s="93"/>
      <c r="EY730" s="93"/>
      <c r="EZ730" s="93"/>
      <c r="FA730" s="93"/>
      <c r="FB730" s="93"/>
      <c r="FC730" s="93"/>
      <c r="FD730" s="93"/>
      <c r="FE730" s="93"/>
      <c r="FF730" s="93"/>
    </row>
    <row r="731" spans="1:162" ht="15.75" customHeight="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93"/>
      <c r="DV731" s="93"/>
      <c r="DW731" s="93"/>
      <c r="DX731" s="93"/>
      <c r="DY731" s="93"/>
      <c r="DZ731" s="93"/>
      <c r="EA731" s="93"/>
      <c r="EB731" s="93"/>
      <c r="EC731" s="93"/>
      <c r="ED731" s="93"/>
      <c r="EE731" s="93"/>
      <c r="EF731" s="93"/>
      <c r="EG731" s="93"/>
      <c r="EH731" s="93"/>
      <c r="EI731" s="93"/>
      <c r="EJ731" s="93"/>
      <c r="EK731" s="93"/>
      <c r="EL731" s="93"/>
      <c r="EM731" s="93"/>
      <c r="EN731" s="93"/>
      <c r="EO731" s="93"/>
      <c r="EP731" s="93"/>
      <c r="EQ731" s="93"/>
      <c r="ER731" s="93"/>
      <c r="ES731" s="93"/>
      <c r="ET731" s="93"/>
      <c r="EU731" s="93"/>
      <c r="EV731" s="93"/>
      <c r="EW731" s="93"/>
      <c r="EX731" s="93"/>
      <c r="EY731" s="93"/>
      <c r="EZ731" s="93"/>
      <c r="FA731" s="93"/>
      <c r="FB731" s="93"/>
      <c r="FC731" s="93"/>
      <c r="FD731" s="93"/>
      <c r="FE731" s="93"/>
      <c r="FF731" s="93"/>
    </row>
    <row r="732" spans="1:162" ht="15.75" customHeight="1">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c r="CM732" s="93"/>
      <c r="CN732" s="93"/>
      <c r="CO732" s="93"/>
      <c r="CP732" s="93"/>
      <c r="CQ732" s="93"/>
      <c r="CR732" s="93"/>
      <c r="CS732" s="93"/>
      <c r="CT732" s="93"/>
      <c r="CU732" s="93"/>
      <c r="CV732" s="93"/>
      <c r="CW732" s="93"/>
      <c r="CX732" s="93"/>
      <c r="CY732" s="93"/>
      <c r="CZ732" s="93"/>
      <c r="DA732" s="93"/>
      <c r="DB732" s="93"/>
      <c r="DC732" s="93"/>
      <c r="DD732" s="93"/>
      <c r="DE732" s="93"/>
      <c r="DF732" s="93"/>
      <c r="DG732" s="93"/>
      <c r="DH732" s="93"/>
      <c r="DI732" s="93"/>
      <c r="DJ732" s="93"/>
      <c r="DK732" s="93"/>
      <c r="DL732" s="93"/>
      <c r="DM732" s="93"/>
      <c r="DN732" s="93"/>
      <c r="DO732" s="93"/>
      <c r="DP732" s="93"/>
      <c r="DQ732" s="93"/>
      <c r="DR732" s="93"/>
      <c r="DS732" s="93"/>
      <c r="DT732" s="93"/>
      <c r="DU732" s="93"/>
      <c r="DV732" s="93"/>
      <c r="DW732" s="93"/>
      <c r="DX732" s="93"/>
      <c r="DY732" s="93"/>
      <c r="DZ732" s="93"/>
      <c r="EA732" s="93"/>
      <c r="EB732" s="93"/>
      <c r="EC732" s="93"/>
      <c r="ED732" s="93"/>
      <c r="EE732" s="93"/>
      <c r="EF732" s="93"/>
      <c r="EG732" s="93"/>
      <c r="EH732" s="93"/>
      <c r="EI732" s="93"/>
      <c r="EJ732" s="93"/>
      <c r="EK732" s="93"/>
      <c r="EL732" s="93"/>
      <c r="EM732" s="93"/>
      <c r="EN732" s="93"/>
      <c r="EO732" s="93"/>
      <c r="EP732" s="93"/>
      <c r="EQ732" s="93"/>
      <c r="ER732" s="93"/>
      <c r="ES732" s="93"/>
      <c r="ET732" s="93"/>
      <c r="EU732" s="93"/>
      <c r="EV732" s="93"/>
      <c r="EW732" s="93"/>
      <c r="EX732" s="93"/>
      <c r="EY732" s="93"/>
      <c r="EZ732" s="93"/>
      <c r="FA732" s="93"/>
      <c r="FB732" s="93"/>
      <c r="FC732" s="93"/>
      <c r="FD732" s="93"/>
      <c r="FE732" s="93"/>
      <c r="FF732" s="93"/>
    </row>
    <row r="733" spans="1:162" ht="15.75" customHeight="1">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93"/>
      <c r="DV733" s="93"/>
      <c r="DW733" s="93"/>
      <c r="DX733" s="93"/>
      <c r="DY733" s="93"/>
      <c r="DZ733" s="93"/>
      <c r="EA733" s="93"/>
      <c r="EB733" s="93"/>
      <c r="EC733" s="93"/>
      <c r="ED733" s="93"/>
      <c r="EE733" s="93"/>
      <c r="EF733" s="93"/>
      <c r="EG733" s="93"/>
      <c r="EH733" s="93"/>
      <c r="EI733" s="93"/>
      <c r="EJ733" s="93"/>
      <c r="EK733" s="93"/>
      <c r="EL733" s="93"/>
      <c r="EM733" s="93"/>
      <c r="EN733" s="93"/>
      <c r="EO733" s="93"/>
      <c r="EP733" s="93"/>
      <c r="EQ733" s="93"/>
      <c r="ER733" s="93"/>
      <c r="ES733" s="93"/>
      <c r="ET733" s="93"/>
      <c r="EU733" s="93"/>
      <c r="EV733" s="93"/>
      <c r="EW733" s="93"/>
      <c r="EX733" s="93"/>
      <c r="EY733" s="93"/>
      <c r="EZ733" s="93"/>
      <c r="FA733" s="93"/>
      <c r="FB733" s="93"/>
      <c r="FC733" s="93"/>
      <c r="FD733" s="93"/>
      <c r="FE733" s="93"/>
      <c r="FF733" s="93"/>
    </row>
    <row r="734" spans="1:162" ht="15.75" customHeight="1">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c r="CM734" s="93"/>
      <c r="CN734" s="93"/>
      <c r="CO734" s="93"/>
      <c r="CP734" s="93"/>
      <c r="CQ734" s="93"/>
      <c r="CR734" s="93"/>
      <c r="CS734" s="93"/>
      <c r="CT734" s="93"/>
      <c r="CU734" s="93"/>
      <c r="CV734" s="93"/>
      <c r="CW734" s="93"/>
      <c r="CX734" s="93"/>
      <c r="CY734" s="93"/>
      <c r="CZ734" s="93"/>
      <c r="DA734" s="93"/>
      <c r="DB734" s="93"/>
      <c r="DC734" s="93"/>
      <c r="DD734" s="93"/>
      <c r="DE734" s="93"/>
      <c r="DF734" s="93"/>
      <c r="DG734" s="93"/>
      <c r="DH734" s="93"/>
      <c r="DI734" s="93"/>
      <c r="DJ734" s="93"/>
      <c r="DK734" s="93"/>
      <c r="DL734" s="93"/>
      <c r="DM734" s="93"/>
      <c r="DN734" s="93"/>
      <c r="DO734" s="93"/>
      <c r="DP734" s="93"/>
      <c r="DQ734" s="93"/>
      <c r="DR734" s="93"/>
      <c r="DS734" s="93"/>
      <c r="DT734" s="93"/>
      <c r="DU734" s="93"/>
      <c r="DV734" s="93"/>
      <c r="DW734" s="93"/>
      <c r="DX734" s="93"/>
      <c r="DY734" s="93"/>
      <c r="DZ734" s="93"/>
      <c r="EA734" s="93"/>
      <c r="EB734" s="93"/>
      <c r="EC734" s="93"/>
      <c r="ED734" s="93"/>
      <c r="EE734" s="93"/>
      <c r="EF734" s="93"/>
      <c r="EG734" s="93"/>
      <c r="EH734" s="93"/>
      <c r="EI734" s="93"/>
      <c r="EJ734" s="93"/>
      <c r="EK734" s="93"/>
      <c r="EL734" s="93"/>
      <c r="EM734" s="93"/>
      <c r="EN734" s="93"/>
      <c r="EO734" s="93"/>
      <c r="EP734" s="93"/>
      <c r="EQ734" s="93"/>
      <c r="ER734" s="93"/>
      <c r="ES734" s="93"/>
      <c r="ET734" s="93"/>
      <c r="EU734" s="93"/>
      <c r="EV734" s="93"/>
      <c r="EW734" s="93"/>
      <c r="EX734" s="93"/>
      <c r="EY734" s="93"/>
      <c r="EZ734" s="93"/>
      <c r="FA734" s="93"/>
      <c r="FB734" s="93"/>
      <c r="FC734" s="93"/>
      <c r="FD734" s="93"/>
      <c r="FE734" s="93"/>
      <c r="FF734" s="93"/>
    </row>
    <row r="735" spans="1:162" ht="15.75" customHeight="1">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c r="CM735" s="93"/>
      <c r="CN735" s="93"/>
      <c r="CO735" s="93"/>
      <c r="CP735" s="93"/>
      <c r="CQ735" s="93"/>
      <c r="CR735" s="93"/>
      <c r="CS735" s="93"/>
      <c r="CT735" s="93"/>
      <c r="CU735" s="93"/>
      <c r="CV735" s="93"/>
      <c r="CW735" s="93"/>
      <c r="CX735" s="93"/>
      <c r="CY735" s="93"/>
      <c r="CZ735" s="93"/>
      <c r="DA735" s="93"/>
      <c r="DB735" s="93"/>
      <c r="DC735" s="93"/>
      <c r="DD735" s="93"/>
      <c r="DE735" s="93"/>
      <c r="DF735" s="93"/>
      <c r="DG735" s="93"/>
      <c r="DH735" s="93"/>
      <c r="DI735" s="93"/>
      <c r="DJ735" s="93"/>
      <c r="DK735" s="93"/>
      <c r="DL735" s="93"/>
      <c r="DM735" s="93"/>
      <c r="DN735" s="93"/>
      <c r="DO735" s="93"/>
      <c r="DP735" s="93"/>
      <c r="DQ735" s="93"/>
      <c r="DR735" s="93"/>
      <c r="DS735" s="93"/>
      <c r="DT735" s="93"/>
      <c r="DU735" s="93"/>
      <c r="DV735" s="93"/>
      <c r="DW735" s="93"/>
      <c r="DX735" s="93"/>
      <c r="DY735" s="93"/>
      <c r="DZ735" s="93"/>
      <c r="EA735" s="93"/>
      <c r="EB735" s="93"/>
      <c r="EC735" s="93"/>
      <c r="ED735" s="93"/>
      <c r="EE735" s="93"/>
      <c r="EF735" s="93"/>
      <c r="EG735" s="93"/>
      <c r="EH735" s="93"/>
      <c r="EI735" s="93"/>
      <c r="EJ735" s="93"/>
      <c r="EK735" s="93"/>
      <c r="EL735" s="93"/>
      <c r="EM735" s="93"/>
      <c r="EN735" s="93"/>
      <c r="EO735" s="93"/>
      <c r="EP735" s="93"/>
      <c r="EQ735" s="93"/>
      <c r="ER735" s="93"/>
      <c r="ES735" s="93"/>
      <c r="ET735" s="93"/>
      <c r="EU735" s="93"/>
      <c r="EV735" s="93"/>
      <c r="EW735" s="93"/>
      <c r="EX735" s="93"/>
      <c r="EY735" s="93"/>
      <c r="EZ735" s="93"/>
      <c r="FA735" s="93"/>
      <c r="FB735" s="93"/>
      <c r="FC735" s="93"/>
      <c r="FD735" s="93"/>
      <c r="FE735" s="93"/>
      <c r="FF735" s="93"/>
    </row>
    <row r="736" spans="1:162" ht="15.75" customHeight="1">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c r="CM736" s="93"/>
      <c r="CN736" s="93"/>
      <c r="CO736" s="93"/>
      <c r="CP736" s="93"/>
      <c r="CQ736" s="93"/>
      <c r="CR736" s="93"/>
      <c r="CS736" s="93"/>
      <c r="CT736" s="93"/>
      <c r="CU736" s="93"/>
      <c r="CV736" s="93"/>
      <c r="CW736" s="93"/>
      <c r="CX736" s="93"/>
      <c r="CY736" s="93"/>
      <c r="CZ736" s="93"/>
      <c r="DA736" s="93"/>
      <c r="DB736" s="93"/>
      <c r="DC736" s="93"/>
      <c r="DD736" s="93"/>
      <c r="DE736" s="93"/>
      <c r="DF736" s="93"/>
      <c r="DG736" s="93"/>
      <c r="DH736" s="93"/>
      <c r="DI736" s="93"/>
      <c r="DJ736" s="93"/>
      <c r="DK736" s="93"/>
      <c r="DL736" s="93"/>
      <c r="DM736" s="93"/>
      <c r="DN736" s="93"/>
      <c r="DO736" s="93"/>
      <c r="DP736" s="93"/>
      <c r="DQ736" s="93"/>
      <c r="DR736" s="93"/>
      <c r="DS736" s="93"/>
      <c r="DT736" s="93"/>
      <c r="DU736" s="93"/>
      <c r="DV736" s="93"/>
      <c r="DW736" s="93"/>
      <c r="DX736" s="93"/>
      <c r="DY736" s="93"/>
      <c r="DZ736" s="93"/>
      <c r="EA736" s="93"/>
      <c r="EB736" s="93"/>
      <c r="EC736" s="93"/>
      <c r="ED736" s="93"/>
      <c r="EE736" s="93"/>
      <c r="EF736" s="93"/>
      <c r="EG736" s="93"/>
      <c r="EH736" s="93"/>
      <c r="EI736" s="93"/>
      <c r="EJ736" s="93"/>
      <c r="EK736" s="93"/>
      <c r="EL736" s="93"/>
      <c r="EM736" s="93"/>
      <c r="EN736" s="93"/>
      <c r="EO736" s="93"/>
      <c r="EP736" s="93"/>
      <c r="EQ736" s="93"/>
      <c r="ER736" s="93"/>
      <c r="ES736" s="93"/>
      <c r="ET736" s="93"/>
      <c r="EU736" s="93"/>
      <c r="EV736" s="93"/>
      <c r="EW736" s="93"/>
      <c r="EX736" s="93"/>
      <c r="EY736" s="93"/>
      <c r="EZ736" s="93"/>
      <c r="FA736" s="93"/>
      <c r="FB736" s="93"/>
      <c r="FC736" s="93"/>
      <c r="FD736" s="93"/>
      <c r="FE736" s="93"/>
      <c r="FF736" s="93"/>
    </row>
    <row r="737" spans="1:162" ht="15.75" customHeight="1">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c r="CM737" s="93"/>
      <c r="CN737" s="93"/>
      <c r="CO737" s="93"/>
      <c r="CP737" s="93"/>
      <c r="CQ737" s="93"/>
      <c r="CR737" s="93"/>
      <c r="CS737" s="93"/>
      <c r="CT737" s="93"/>
      <c r="CU737" s="93"/>
      <c r="CV737" s="93"/>
      <c r="CW737" s="93"/>
      <c r="CX737" s="93"/>
      <c r="CY737" s="93"/>
      <c r="CZ737" s="93"/>
      <c r="DA737" s="93"/>
      <c r="DB737" s="93"/>
      <c r="DC737" s="93"/>
      <c r="DD737" s="93"/>
      <c r="DE737" s="93"/>
      <c r="DF737" s="93"/>
      <c r="DG737" s="93"/>
      <c r="DH737" s="93"/>
      <c r="DI737" s="93"/>
      <c r="DJ737" s="93"/>
      <c r="DK737" s="93"/>
      <c r="DL737" s="93"/>
      <c r="DM737" s="93"/>
      <c r="DN737" s="93"/>
      <c r="DO737" s="93"/>
      <c r="DP737" s="93"/>
      <c r="DQ737" s="93"/>
      <c r="DR737" s="93"/>
      <c r="DS737" s="93"/>
      <c r="DT737" s="93"/>
      <c r="DU737" s="93"/>
      <c r="DV737" s="93"/>
      <c r="DW737" s="93"/>
      <c r="DX737" s="93"/>
      <c r="DY737" s="93"/>
      <c r="DZ737" s="93"/>
      <c r="EA737" s="93"/>
      <c r="EB737" s="93"/>
      <c r="EC737" s="93"/>
      <c r="ED737" s="93"/>
      <c r="EE737" s="93"/>
      <c r="EF737" s="93"/>
      <c r="EG737" s="93"/>
      <c r="EH737" s="93"/>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row>
    <row r="738" spans="1:162" ht="15.75" customHeight="1">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c r="CM738" s="93"/>
      <c r="CN738" s="93"/>
      <c r="CO738" s="93"/>
      <c r="CP738" s="93"/>
      <c r="CQ738" s="93"/>
      <c r="CR738" s="93"/>
      <c r="CS738" s="93"/>
      <c r="CT738" s="93"/>
      <c r="CU738" s="93"/>
      <c r="CV738" s="93"/>
      <c r="CW738" s="93"/>
      <c r="CX738" s="93"/>
      <c r="CY738" s="93"/>
      <c r="CZ738" s="93"/>
      <c r="DA738" s="93"/>
      <c r="DB738" s="93"/>
      <c r="DC738" s="93"/>
      <c r="DD738" s="93"/>
      <c r="DE738" s="93"/>
      <c r="DF738" s="93"/>
      <c r="DG738" s="93"/>
      <c r="DH738" s="93"/>
      <c r="DI738" s="93"/>
      <c r="DJ738" s="93"/>
      <c r="DK738" s="93"/>
      <c r="DL738" s="93"/>
      <c r="DM738" s="93"/>
      <c r="DN738" s="93"/>
      <c r="DO738" s="93"/>
      <c r="DP738" s="93"/>
      <c r="DQ738" s="93"/>
      <c r="DR738" s="93"/>
      <c r="DS738" s="93"/>
      <c r="DT738" s="93"/>
      <c r="DU738" s="93"/>
      <c r="DV738" s="93"/>
      <c r="DW738" s="93"/>
      <c r="DX738" s="93"/>
      <c r="DY738" s="93"/>
      <c r="DZ738" s="93"/>
      <c r="EA738" s="93"/>
      <c r="EB738" s="93"/>
      <c r="EC738" s="93"/>
      <c r="ED738" s="93"/>
      <c r="EE738" s="93"/>
      <c r="EF738" s="93"/>
      <c r="EG738" s="93"/>
      <c r="EH738" s="93"/>
      <c r="EI738" s="93"/>
      <c r="EJ738" s="93"/>
      <c r="EK738" s="93"/>
      <c r="EL738" s="93"/>
      <c r="EM738" s="93"/>
      <c r="EN738" s="93"/>
      <c r="EO738" s="93"/>
      <c r="EP738" s="93"/>
      <c r="EQ738" s="93"/>
      <c r="ER738" s="93"/>
      <c r="ES738" s="93"/>
      <c r="ET738" s="93"/>
      <c r="EU738" s="93"/>
      <c r="EV738" s="93"/>
      <c r="EW738" s="93"/>
      <c r="EX738" s="93"/>
      <c r="EY738" s="93"/>
      <c r="EZ738" s="93"/>
      <c r="FA738" s="93"/>
      <c r="FB738" s="93"/>
      <c r="FC738" s="93"/>
      <c r="FD738" s="93"/>
      <c r="FE738" s="93"/>
      <c r="FF738" s="93"/>
    </row>
    <row r="739" spans="1:162" ht="15.75" customHeight="1">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c r="CM739" s="93"/>
      <c r="CN739" s="93"/>
      <c r="CO739" s="93"/>
      <c r="CP739" s="93"/>
      <c r="CQ739" s="93"/>
      <c r="CR739" s="93"/>
      <c r="CS739" s="93"/>
      <c r="CT739" s="93"/>
      <c r="CU739" s="93"/>
      <c r="CV739" s="93"/>
      <c r="CW739" s="93"/>
      <c r="CX739" s="93"/>
      <c r="CY739" s="93"/>
      <c r="CZ739" s="93"/>
      <c r="DA739" s="93"/>
      <c r="DB739" s="93"/>
      <c r="DC739" s="93"/>
      <c r="DD739" s="93"/>
      <c r="DE739" s="93"/>
      <c r="DF739" s="93"/>
      <c r="DG739" s="93"/>
      <c r="DH739" s="93"/>
      <c r="DI739" s="93"/>
      <c r="DJ739" s="93"/>
      <c r="DK739" s="93"/>
      <c r="DL739" s="93"/>
      <c r="DM739" s="93"/>
      <c r="DN739" s="93"/>
      <c r="DO739" s="93"/>
      <c r="DP739" s="93"/>
      <c r="DQ739" s="93"/>
      <c r="DR739" s="93"/>
      <c r="DS739" s="93"/>
      <c r="DT739" s="93"/>
      <c r="DU739" s="93"/>
      <c r="DV739" s="93"/>
      <c r="DW739" s="93"/>
      <c r="DX739" s="93"/>
      <c r="DY739" s="93"/>
      <c r="DZ739" s="93"/>
      <c r="EA739" s="93"/>
      <c r="EB739" s="93"/>
      <c r="EC739" s="93"/>
      <c r="ED739" s="93"/>
      <c r="EE739" s="93"/>
      <c r="EF739" s="93"/>
      <c r="EG739" s="93"/>
      <c r="EH739" s="93"/>
      <c r="EI739" s="93"/>
      <c r="EJ739" s="93"/>
      <c r="EK739" s="93"/>
      <c r="EL739" s="93"/>
      <c r="EM739" s="93"/>
      <c r="EN739" s="93"/>
      <c r="EO739" s="93"/>
      <c r="EP739" s="93"/>
      <c r="EQ739" s="93"/>
      <c r="ER739" s="93"/>
      <c r="ES739" s="93"/>
      <c r="ET739" s="93"/>
      <c r="EU739" s="93"/>
      <c r="EV739" s="93"/>
      <c r="EW739" s="93"/>
      <c r="EX739" s="93"/>
      <c r="EY739" s="93"/>
      <c r="EZ739" s="93"/>
      <c r="FA739" s="93"/>
      <c r="FB739" s="93"/>
      <c r="FC739" s="93"/>
      <c r="FD739" s="93"/>
      <c r="FE739" s="93"/>
      <c r="FF739" s="93"/>
    </row>
    <row r="740" spans="1:162" ht="15.75" customHeight="1">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c r="CM740" s="93"/>
      <c r="CN740" s="93"/>
      <c r="CO740" s="93"/>
      <c r="CP740" s="93"/>
      <c r="CQ740" s="93"/>
      <c r="CR740" s="93"/>
      <c r="CS740" s="93"/>
      <c r="CT740" s="93"/>
      <c r="CU740" s="93"/>
      <c r="CV740" s="93"/>
      <c r="CW740" s="93"/>
      <c r="CX740" s="93"/>
      <c r="CY740" s="93"/>
      <c r="CZ740" s="93"/>
      <c r="DA740" s="93"/>
      <c r="DB740" s="93"/>
      <c r="DC740" s="93"/>
      <c r="DD740" s="93"/>
      <c r="DE740" s="93"/>
      <c r="DF740" s="93"/>
      <c r="DG740" s="93"/>
      <c r="DH740" s="93"/>
      <c r="DI740" s="93"/>
      <c r="DJ740" s="93"/>
      <c r="DK740" s="93"/>
      <c r="DL740" s="93"/>
      <c r="DM740" s="93"/>
      <c r="DN740" s="93"/>
      <c r="DO740" s="93"/>
      <c r="DP740" s="93"/>
      <c r="DQ740" s="93"/>
      <c r="DR740" s="93"/>
      <c r="DS740" s="93"/>
      <c r="DT740" s="93"/>
      <c r="DU740" s="93"/>
      <c r="DV740" s="93"/>
      <c r="DW740" s="93"/>
      <c r="DX740" s="93"/>
      <c r="DY740" s="93"/>
      <c r="DZ740" s="93"/>
      <c r="EA740" s="93"/>
      <c r="EB740" s="93"/>
      <c r="EC740" s="93"/>
      <c r="ED740" s="93"/>
      <c r="EE740" s="93"/>
      <c r="EF740" s="93"/>
      <c r="EG740" s="93"/>
      <c r="EH740" s="93"/>
      <c r="EI740" s="93"/>
      <c r="EJ740" s="93"/>
      <c r="EK740" s="93"/>
      <c r="EL740" s="93"/>
      <c r="EM740" s="93"/>
      <c r="EN740" s="93"/>
      <c r="EO740" s="93"/>
      <c r="EP740" s="93"/>
      <c r="EQ740" s="93"/>
      <c r="ER740" s="93"/>
      <c r="ES740" s="93"/>
      <c r="ET740" s="93"/>
      <c r="EU740" s="93"/>
      <c r="EV740" s="93"/>
      <c r="EW740" s="93"/>
      <c r="EX740" s="93"/>
      <c r="EY740" s="93"/>
      <c r="EZ740" s="93"/>
      <c r="FA740" s="93"/>
      <c r="FB740" s="93"/>
      <c r="FC740" s="93"/>
      <c r="FD740" s="93"/>
      <c r="FE740" s="93"/>
      <c r="FF740" s="93"/>
    </row>
    <row r="741" spans="1:162" ht="15.75" customHeight="1">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c r="CM741" s="93"/>
      <c r="CN741" s="93"/>
      <c r="CO741" s="93"/>
      <c r="CP741" s="93"/>
      <c r="CQ741" s="93"/>
      <c r="CR741" s="93"/>
      <c r="CS741" s="93"/>
      <c r="CT741" s="93"/>
      <c r="CU741" s="93"/>
      <c r="CV741" s="93"/>
      <c r="CW741" s="93"/>
      <c r="CX741" s="93"/>
      <c r="CY741" s="93"/>
      <c r="CZ741" s="93"/>
      <c r="DA741" s="93"/>
      <c r="DB741" s="93"/>
      <c r="DC741" s="93"/>
      <c r="DD741" s="93"/>
      <c r="DE741" s="93"/>
      <c r="DF741" s="93"/>
      <c r="DG741" s="93"/>
      <c r="DH741" s="93"/>
      <c r="DI741" s="93"/>
      <c r="DJ741" s="93"/>
      <c r="DK741" s="93"/>
      <c r="DL741" s="93"/>
      <c r="DM741" s="93"/>
      <c r="DN741" s="93"/>
      <c r="DO741" s="93"/>
      <c r="DP741" s="93"/>
      <c r="DQ741" s="93"/>
      <c r="DR741" s="93"/>
      <c r="DS741" s="93"/>
      <c r="DT741" s="93"/>
      <c r="DU741" s="93"/>
      <c r="DV741" s="93"/>
      <c r="DW741" s="93"/>
      <c r="DX741" s="93"/>
      <c r="DY741" s="93"/>
      <c r="DZ741" s="93"/>
      <c r="EA741" s="93"/>
      <c r="EB741" s="93"/>
      <c r="EC741" s="93"/>
      <c r="ED741" s="93"/>
      <c r="EE741" s="93"/>
      <c r="EF741" s="93"/>
      <c r="EG741" s="93"/>
      <c r="EH741" s="93"/>
      <c r="EI741" s="93"/>
      <c r="EJ741" s="93"/>
      <c r="EK741" s="93"/>
      <c r="EL741" s="93"/>
      <c r="EM741" s="93"/>
      <c r="EN741" s="93"/>
      <c r="EO741" s="93"/>
      <c r="EP741" s="93"/>
      <c r="EQ741" s="93"/>
      <c r="ER741" s="93"/>
      <c r="ES741" s="93"/>
      <c r="ET741" s="93"/>
      <c r="EU741" s="93"/>
      <c r="EV741" s="93"/>
      <c r="EW741" s="93"/>
      <c r="EX741" s="93"/>
      <c r="EY741" s="93"/>
      <c r="EZ741" s="93"/>
      <c r="FA741" s="93"/>
      <c r="FB741" s="93"/>
      <c r="FC741" s="93"/>
      <c r="FD741" s="93"/>
      <c r="FE741" s="93"/>
      <c r="FF741" s="93"/>
    </row>
    <row r="742" spans="1:162" ht="15.75" customHeight="1">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c r="CM742" s="93"/>
      <c r="CN742" s="93"/>
      <c r="CO742" s="93"/>
      <c r="CP742" s="93"/>
      <c r="CQ742" s="93"/>
      <c r="CR742" s="93"/>
      <c r="CS742" s="93"/>
      <c r="CT742" s="93"/>
      <c r="CU742" s="93"/>
      <c r="CV742" s="93"/>
      <c r="CW742" s="93"/>
      <c r="CX742" s="93"/>
      <c r="CY742" s="93"/>
      <c r="CZ742" s="93"/>
      <c r="DA742" s="93"/>
      <c r="DB742" s="93"/>
      <c r="DC742" s="93"/>
      <c r="DD742" s="93"/>
      <c r="DE742" s="93"/>
      <c r="DF742" s="93"/>
      <c r="DG742" s="93"/>
      <c r="DH742" s="93"/>
      <c r="DI742" s="93"/>
      <c r="DJ742" s="93"/>
      <c r="DK742" s="93"/>
      <c r="DL742" s="93"/>
      <c r="DM742" s="93"/>
      <c r="DN742" s="93"/>
      <c r="DO742" s="93"/>
      <c r="DP742" s="93"/>
      <c r="DQ742" s="93"/>
      <c r="DR742" s="93"/>
      <c r="DS742" s="93"/>
      <c r="DT742" s="93"/>
      <c r="DU742" s="93"/>
      <c r="DV742" s="93"/>
      <c r="DW742" s="93"/>
      <c r="DX742" s="93"/>
      <c r="DY742" s="93"/>
      <c r="DZ742" s="93"/>
      <c r="EA742" s="93"/>
      <c r="EB742" s="93"/>
      <c r="EC742" s="93"/>
      <c r="ED742" s="93"/>
      <c r="EE742" s="93"/>
      <c r="EF742" s="93"/>
      <c r="EG742" s="93"/>
      <c r="EH742" s="93"/>
      <c r="EI742" s="93"/>
      <c r="EJ742" s="93"/>
      <c r="EK742" s="93"/>
      <c r="EL742" s="93"/>
      <c r="EM742" s="93"/>
      <c r="EN742" s="93"/>
      <c r="EO742" s="93"/>
      <c r="EP742" s="93"/>
      <c r="EQ742" s="93"/>
      <c r="ER742" s="93"/>
      <c r="ES742" s="93"/>
      <c r="ET742" s="93"/>
      <c r="EU742" s="93"/>
      <c r="EV742" s="93"/>
      <c r="EW742" s="93"/>
      <c r="EX742" s="93"/>
      <c r="EY742" s="93"/>
      <c r="EZ742" s="93"/>
      <c r="FA742" s="93"/>
      <c r="FB742" s="93"/>
      <c r="FC742" s="93"/>
      <c r="FD742" s="93"/>
      <c r="FE742" s="93"/>
      <c r="FF742" s="93"/>
    </row>
    <row r="743" spans="1:162" ht="15.75" customHeight="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c r="CW743" s="93"/>
      <c r="CX743" s="93"/>
      <c r="CY743" s="93"/>
      <c r="CZ743" s="93"/>
      <c r="DA743" s="93"/>
      <c r="DB743" s="93"/>
      <c r="DC743" s="93"/>
      <c r="DD743" s="93"/>
      <c r="DE743" s="93"/>
      <c r="DF743" s="93"/>
      <c r="DG743" s="93"/>
      <c r="DH743" s="93"/>
      <c r="DI743" s="93"/>
      <c r="DJ743" s="93"/>
      <c r="DK743" s="93"/>
      <c r="DL743" s="93"/>
      <c r="DM743" s="93"/>
      <c r="DN743" s="93"/>
      <c r="DO743" s="93"/>
      <c r="DP743" s="93"/>
      <c r="DQ743" s="93"/>
      <c r="DR743" s="93"/>
      <c r="DS743" s="93"/>
      <c r="DT743" s="93"/>
      <c r="DU743" s="93"/>
      <c r="DV743" s="93"/>
      <c r="DW743" s="93"/>
      <c r="DX743" s="93"/>
      <c r="DY743" s="93"/>
      <c r="DZ743" s="93"/>
      <c r="EA743" s="93"/>
      <c r="EB743" s="93"/>
      <c r="EC743" s="93"/>
      <c r="ED743" s="93"/>
      <c r="EE743" s="93"/>
      <c r="EF743" s="93"/>
      <c r="EG743" s="93"/>
      <c r="EH743" s="93"/>
      <c r="EI743" s="93"/>
      <c r="EJ743" s="93"/>
      <c r="EK743" s="93"/>
      <c r="EL743" s="93"/>
      <c r="EM743" s="93"/>
      <c r="EN743" s="93"/>
      <c r="EO743" s="93"/>
      <c r="EP743" s="93"/>
      <c r="EQ743" s="93"/>
      <c r="ER743" s="93"/>
      <c r="ES743" s="93"/>
      <c r="ET743" s="93"/>
      <c r="EU743" s="93"/>
      <c r="EV743" s="93"/>
      <c r="EW743" s="93"/>
      <c r="EX743" s="93"/>
      <c r="EY743" s="93"/>
      <c r="EZ743" s="93"/>
      <c r="FA743" s="93"/>
      <c r="FB743" s="93"/>
      <c r="FC743" s="93"/>
      <c r="FD743" s="93"/>
      <c r="FE743" s="93"/>
      <c r="FF743" s="93"/>
    </row>
    <row r="744" spans="1:162" ht="15.75" customHeight="1">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c r="CM744" s="93"/>
      <c r="CN744" s="93"/>
      <c r="CO744" s="93"/>
      <c r="CP744" s="93"/>
      <c r="CQ744" s="93"/>
      <c r="CR744" s="93"/>
      <c r="CS744" s="93"/>
      <c r="CT744" s="93"/>
      <c r="CU744" s="93"/>
      <c r="CV744" s="93"/>
      <c r="CW744" s="93"/>
      <c r="CX744" s="93"/>
      <c r="CY744" s="93"/>
      <c r="CZ744" s="93"/>
      <c r="DA744" s="93"/>
      <c r="DB744" s="93"/>
      <c r="DC744" s="93"/>
      <c r="DD744" s="93"/>
      <c r="DE744" s="93"/>
      <c r="DF744" s="93"/>
      <c r="DG744" s="93"/>
      <c r="DH744" s="93"/>
      <c r="DI744" s="93"/>
      <c r="DJ744" s="93"/>
      <c r="DK744" s="93"/>
      <c r="DL744" s="93"/>
      <c r="DM744" s="93"/>
      <c r="DN744" s="93"/>
      <c r="DO744" s="93"/>
      <c r="DP744" s="93"/>
      <c r="DQ744" s="93"/>
      <c r="DR744" s="93"/>
      <c r="DS744" s="93"/>
      <c r="DT744" s="93"/>
      <c r="DU744" s="93"/>
      <c r="DV744" s="93"/>
      <c r="DW744" s="93"/>
      <c r="DX744" s="93"/>
      <c r="DY744" s="93"/>
      <c r="DZ744" s="93"/>
      <c r="EA744" s="93"/>
      <c r="EB744" s="93"/>
      <c r="EC744" s="93"/>
      <c r="ED744" s="93"/>
      <c r="EE744" s="93"/>
      <c r="EF744" s="93"/>
      <c r="EG744" s="93"/>
      <c r="EH744" s="93"/>
      <c r="EI744" s="93"/>
      <c r="EJ744" s="93"/>
      <c r="EK744" s="93"/>
      <c r="EL744" s="93"/>
      <c r="EM744" s="93"/>
      <c r="EN744" s="93"/>
      <c r="EO744" s="93"/>
      <c r="EP744" s="93"/>
      <c r="EQ744" s="93"/>
      <c r="ER744" s="93"/>
      <c r="ES744" s="93"/>
      <c r="ET744" s="93"/>
      <c r="EU744" s="93"/>
      <c r="EV744" s="93"/>
      <c r="EW744" s="93"/>
      <c r="EX744" s="93"/>
      <c r="EY744" s="93"/>
      <c r="EZ744" s="93"/>
      <c r="FA744" s="93"/>
      <c r="FB744" s="93"/>
      <c r="FC744" s="93"/>
      <c r="FD744" s="93"/>
      <c r="FE744" s="93"/>
      <c r="FF744" s="93"/>
    </row>
    <row r="745" spans="1:162" ht="15.75" customHeight="1">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c r="CM745" s="93"/>
      <c r="CN745" s="93"/>
      <c r="CO745" s="93"/>
      <c r="CP745" s="93"/>
      <c r="CQ745" s="93"/>
      <c r="CR745" s="93"/>
      <c r="CS745" s="93"/>
      <c r="CT745" s="93"/>
      <c r="CU745" s="93"/>
      <c r="CV745" s="93"/>
      <c r="CW745" s="93"/>
      <c r="CX745" s="93"/>
      <c r="CY745" s="93"/>
      <c r="CZ745" s="93"/>
      <c r="DA745" s="93"/>
      <c r="DB745" s="93"/>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H745" s="93"/>
      <c r="EI745" s="93"/>
      <c r="EJ745" s="93"/>
      <c r="EK745" s="93"/>
      <c r="EL745" s="93"/>
      <c r="EM745" s="93"/>
      <c r="EN745" s="93"/>
      <c r="EO745" s="93"/>
      <c r="EP745" s="93"/>
      <c r="EQ745" s="93"/>
      <c r="ER745" s="93"/>
      <c r="ES745" s="93"/>
      <c r="ET745" s="93"/>
      <c r="EU745" s="93"/>
      <c r="EV745" s="93"/>
      <c r="EW745" s="93"/>
      <c r="EX745" s="93"/>
      <c r="EY745" s="93"/>
      <c r="EZ745" s="93"/>
      <c r="FA745" s="93"/>
      <c r="FB745" s="93"/>
      <c r="FC745" s="93"/>
      <c r="FD745" s="93"/>
      <c r="FE745" s="93"/>
      <c r="FF745" s="93"/>
    </row>
    <row r="746" spans="1:162" ht="15.75" customHeight="1">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c r="CM746" s="93"/>
      <c r="CN746" s="93"/>
      <c r="CO746" s="93"/>
      <c r="CP746" s="93"/>
      <c r="CQ746" s="93"/>
      <c r="CR746" s="93"/>
      <c r="CS746" s="93"/>
      <c r="CT746" s="93"/>
      <c r="CU746" s="93"/>
      <c r="CV746" s="93"/>
      <c r="CW746" s="93"/>
      <c r="CX746" s="93"/>
      <c r="CY746" s="93"/>
      <c r="CZ746" s="93"/>
      <c r="DA746" s="93"/>
      <c r="DB746" s="93"/>
      <c r="DC746" s="93"/>
      <c r="DD746" s="93"/>
      <c r="DE746" s="93"/>
      <c r="DF746" s="93"/>
      <c r="DG746" s="93"/>
      <c r="DH746" s="93"/>
      <c r="DI746" s="93"/>
      <c r="DJ746" s="93"/>
      <c r="DK746" s="93"/>
      <c r="DL746" s="93"/>
      <c r="DM746" s="93"/>
      <c r="DN746" s="93"/>
      <c r="DO746" s="93"/>
      <c r="DP746" s="93"/>
      <c r="DQ746" s="93"/>
      <c r="DR746" s="93"/>
      <c r="DS746" s="93"/>
      <c r="DT746" s="93"/>
      <c r="DU746" s="93"/>
      <c r="DV746" s="93"/>
      <c r="DW746" s="93"/>
      <c r="DX746" s="93"/>
      <c r="DY746" s="93"/>
      <c r="DZ746" s="93"/>
      <c r="EA746" s="93"/>
      <c r="EB746" s="93"/>
      <c r="EC746" s="93"/>
      <c r="ED746" s="93"/>
      <c r="EE746" s="93"/>
      <c r="EF746" s="93"/>
      <c r="EG746" s="93"/>
      <c r="EH746" s="93"/>
      <c r="EI746" s="93"/>
      <c r="EJ746" s="93"/>
      <c r="EK746" s="93"/>
      <c r="EL746" s="93"/>
      <c r="EM746" s="93"/>
      <c r="EN746" s="93"/>
      <c r="EO746" s="93"/>
      <c r="EP746" s="93"/>
      <c r="EQ746" s="93"/>
      <c r="ER746" s="93"/>
      <c r="ES746" s="93"/>
      <c r="ET746" s="93"/>
      <c r="EU746" s="93"/>
      <c r="EV746" s="93"/>
      <c r="EW746" s="93"/>
      <c r="EX746" s="93"/>
      <c r="EY746" s="93"/>
      <c r="EZ746" s="93"/>
      <c r="FA746" s="93"/>
      <c r="FB746" s="93"/>
      <c r="FC746" s="93"/>
      <c r="FD746" s="93"/>
      <c r="FE746" s="93"/>
      <c r="FF746" s="93"/>
    </row>
    <row r="747" spans="1:162" ht="15.75" customHeight="1">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c r="CM747" s="93"/>
      <c r="CN747" s="93"/>
      <c r="CO747" s="93"/>
      <c r="CP747" s="93"/>
      <c r="CQ747" s="93"/>
      <c r="CR747" s="93"/>
      <c r="CS747" s="93"/>
      <c r="CT747" s="93"/>
      <c r="CU747" s="93"/>
      <c r="CV747" s="93"/>
      <c r="CW747" s="93"/>
      <c r="CX747" s="93"/>
      <c r="CY747" s="93"/>
      <c r="CZ747" s="93"/>
      <c r="DA747" s="93"/>
      <c r="DB747" s="93"/>
      <c r="DC747" s="93"/>
      <c r="DD747" s="93"/>
      <c r="DE747" s="93"/>
      <c r="DF747" s="93"/>
      <c r="DG747" s="93"/>
      <c r="DH747" s="93"/>
      <c r="DI747" s="93"/>
      <c r="DJ747" s="93"/>
      <c r="DK747" s="93"/>
      <c r="DL747" s="93"/>
      <c r="DM747" s="93"/>
      <c r="DN747" s="93"/>
      <c r="DO747" s="93"/>
      <c r="DP747" s="93"/>
      <c r="DQ747" s="93"/>
      <c r="DR747" s="93"/>
      <c r="DS747" s="93"/>
      <c r="DT747" s="93"/>
      <c r="DU747" s="93"/>
      <c r="DV747" s="93"/>
      <c r="DW747" s="93"/>
      <c r="DX747" s="93"/>
      <c r="DY747" s="93"/>
      <c r="DZ747" s="93"/>
      <c r="EA747" s="93"/>
      <c r="EB747" s="93"/>
      <c r="EC747" s="93"/>
      <c r="ED747" s="93"/>
      <c r="EE747" s="93"/>
      <c r="EF747" s="93"/>
      <c r="EG747" s="93"/>
      <c r="EH747" s="93"/>
      <c r="EI747" s="93"/>
      <c r="EJ747" s="93"/>
      <c r="EK747" s="93"/>
      <c r="EL747" s="93"/>
      <c r="EM747" s="93"/>
      <c r="EN747" s="93"/>
      <c r="EO747" s="93"/>
      <c r="EP747" s="93"/>
      <c r="EQ747" s="93"/>
      <c r="ER747" s="93"/>
      <c r="ES747" s="93"/>
      <c r="ET747" s="93"/>
      <c r="EU747" s="93"/>
      <c r="EV747" s="93"/>
      <c r="EW747" s="93"/>
      <c r="EX747" s="93"/>
      <c r="EY747" s="93"/>
      <c r="EZ747" s="93"/>
      <c r="FA747" s="93"/>
      <c r="FB747" s="93"/>
      <c r="FC747" s="93"/>
      <c r="FD747" s="93"/>
      <c r="FE747" s="93"/>
      <c r="FF747" s="93"/>
    </row>
    <row r="748" spans="1:162" ht="15.75" customHeight="1">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c r="CM748" s="93"/>
      <c r="CN748" s="93"/>
      <c r="CO748" s="93"/>
      <c r="CP748" s="93"/>
      <c r="CQ748" s="93"/>
      <c r="CR748" s="93"/>
      <c r="CS748" s="93"/>
      <c r="CT748" s="93"/>
      <c r="CU748" s="93"/>
      <c r="CV748" s="93"/>
      <c r="CW748" s="93"/>
      <c r="CX748" s="93"/>
      <c r="CY748" s="93"/>
      <c r="CZ748" s="93"/>
      <c r="DA748" s="93"/>
      <c r="DB748" s="93"/>
      <c r="DC748" s="93"/>
      <c r="DD748" s="93"/>
      <c r="DE748" s="93"/>
      <c r="DF748" s="93"/>
      <c r="DG748" s="93"/>
      <c r="DH748" s="93"/>
      <c r="DI748" s="93"/>
      <c r="DJ748" s="93"/>
      <c r="DK748" s="93"/>
      <c r="DL748" s="93"/>
      <c r="DM748" s="93"/>
      <c r="DN748" s="93"/>
      <c r="DO748" s="93"/>
      <c r="DP748" s="93"/>
      <c r="DQ748" s="93"/>
      <c r="DR748" s="93"/>
      <c r="DS748" s="93"/>
      <c r="DT748" s="93"/>
      <c r="DU748" s="93"/>
      <c r="DV748" s="93"/>
      <c r="DW748" s="93"/>
      <c r="DX748" s="93"/>
      <c r="DY748" s="93"/>
      <c r="DZ748" s="93"/>
      <c r="EA748" s="93"/>
      <c r="EB748" s="93"/>
      <c r="EC748" s="93"/>
      <c r="ED748" s="93"/>
      <c r="EE748" s="93"/>
      <c r="EF748" s="93"/>
      <c r="EG748" s="93"/>
      <c r="EH748" s="93"/>
      <c r="EI748" s="93"/>
      <c r="EJ748" s="93"/>
      <c r="EK748" s="93"/>
      <c r="EL748" s="93"/>
      <c r="EM748" s="93"/>
      <c r="EN748" s="93"/>
      <c r="EO748" s="93"/>
      <c r="EP748" s="93"/>
      <c r="EQ748" s="93"/>
      <c r="ER748" s="93"/>
      <c r="ES748" s="93"/>
      <c r="ET748" s="93"/>
      <c r="EU748" s="93"/>
      <c r="EV748" s="93"/>
      <c r="EW748" s="93"/>
      <c r="EX748" s="93"/>
      <c r="EY748" s="93"/>
      <c r="EZ748" s="93"/>
      <c r="FA748" s="93"/>
      <c r="FB748" s="93"/>
      <c r="FC748" s="93"/>
      <c r="FD748" s="93"/>
      <c r="FE748" s="93"/>
      <c r="FF748" s="93"/>
    </row>
    <row r="749" spans="1:162" ht="15.75" customHeight="1">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c r="CM749" s="93"/>
      <c r="CN749" s="93"/>
      <c r="CO749" s="93"/>
      <c r="CP749" s="93"/>
      <c r="CQ749" s="93"/>
      <c r="CR749" s="93"/>
      <c r="CS749" s="93"/>
      <c r="CT749" s="93"/>
      <c r="CU749" s="93"/>
      <c r="CV749" s="93"/>
      <c r="CW749" s="93"/>
      <c r="CX749" s="93"/>
      <c r="CY749" s="93"/>
      <c r="CZ749" s="93"/>
      <c r="DA749" s="93"/>
      <c r="DB749" s="93"/>
      <c r="DC749" s="93"/>
      <c r="DD749" s="93"/>
      <c r="DE749" s="93"/>
      <c r="DF749" s="93"/>
      <c r="DG749" s="93"/>
      <c r="DH749" s="93"/>
      <c r="DI749" s="93"/>
      <c r="DJ749" s="93"/>
      <c r="DK749" s="93"/>
      <c r="DL749" s="93"/>
      <c r="DM749" s="93"/>
      <c r="DN749" s="93"/>
      <c r="DO749" s="93"/>
      <c r="DP749" s="93"/>
      <c r="DQ749" s="93"/>
      <c r="DR749" s="93"/>
      <c r="DS749" s="93"/>
      <c r="DT749" s="93"/>
      <c r="DU749" s="93"/>
      <c r="DV749" s="93"/>
      <c r="DW749" s="93"/>
      <c r="DX749" s="93"/>
      <c r="DY749" s="93"/>
      <c r="DZ749" s="93"/>
      <c r="EA749" s="93"/>
      <c r="EB749" s="93"/>
      <c r="EC749" s="93"/>
      <c r="ED749" s="93"/>
      <c r="EE749" s="93"/>
      <c r="EF749" s="93"/>
      <c r="EG749" s="93"/>
      <c r="EH749" s="93"/>
      <c r="EI749" s="93"/>
      <c r="EJ749" s="93"/>
      <c r="EK749" s="93"/>
      <c r="EL749" s="93"/>
      <c r="EM749" s="93"/>
      <c r="EN749" s="93"/>
      <c r="EO749" s="93"/>
      <c r="EP749" s="93"/>
      <c r="EQ749" s="93"/>
      <c r="ER749" s="93"/>
      <c r="ES749" s="93"/>
      <c r="ET749" s="93"/>
      <c r="EU749" s="93"/>
      <c r="EV749" s="93"/>
      <c r="EW749" s="93"/>
      <c r="EX749" s="93"/>
      <c r="EY749" s="93"/>
      <c r="EZ749" s="93"/>
      <c r="FA749" s="93"/>
      <c r="FB749" s="93"/>
      <c r="FC749" s="93"/>
      <c r="FD749" s="93"/>
      <c r="FE749" s="93"/>
      <c r="FF749" s="93"/>
    </row>
    <row r="750" spans="1:162" ht="15.75" customHeight="1">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c r="CM750" s="93"/>
      <c r="CN750" s="93"/>
      <c r="CO750" s="93"/>
      <c r="CP750" s="93"/>
      <c r="CQ750" s="93"/>
      <c r="CR750" s="93"/>
      <c r="CS750" s="93"/>
      <c r="CT750" s="93"/>
      <c r="CU750" s="93"/>
      <c r="CV750" s="93"/>
      <c r="CW750" s="93"/>
      <c r="CX750" s="93"/>
      <c r="CY750" s="93"/>
      <c r="CZ750" s="93"/>
      <c r="DA750" s="93"/>
      <c r="DB750" s="93"/>
      <c r="DC750" s="93"/>
      <c r="DD750" s="93"/>
      <c r="DE750" s="93"/>
      <c r="DF750" s="93"/>
      <c r="DG750" s="93"/>
      <c r="DH750" s="93"/>
      <c r="DI750" s="93"/>
      <c r="DJ750" s="93"/>
      <c r="DK750" s="93"/>
      <c r="DL750" s="93"/>
      <c r="DM750" s="93"/>
      <c r="DN750" s="93"/>
      <c r="DO750" s="93"/>
      <c r="DP750" s="93"/>
      <c r="DQ750" s="93"/>
      <c r="DR750" s="93"/>
      <c r="DS750" s="93"/>
      <c r="DT750" s="93"/>
      <c r="DU750" s="93"/>
      <c r="DV750" s="93"/>
      <c r="DW750" s="93"/>
      <c r="DX750" s="93"/>
      <c r="DY750" s="93"/>
      <c r="DZ750" s="93"/>
      <c r="EA750" s="93"/>
      <c r="EB750" s="93"/>
      <c r="EC750" s="93"/>
      <c r="ED750" s="93"/>
      <c r="EE750" s="93"/>
      <c r="EF750" s="93"/>
      <c r="EG750" s="93"/>
      <c r="EH750" s="93"/>
      <c r="EI750" s="93"/>
      <c r="EJ750" s="93"/>
      <c r="EK750" s="93"/>
      <c r="EL750" s="93"/>
      <c r="EM750" s="93"/>
      <c r="EN750" s="93"/>
      <c r="EO750" s="93"/>
      <c r="EP750" s="93"/>
      <c r="EQ750" s="93"/>
      <c r="ER750" s="93"/>
      <c r="ES750" s="93"/>
      <c r="ET750" s="93"/>
      <c r="EU750" s="93"/>
      <c r="EV750" s="93"/>
      <c r="EW750" s="93"/>
      <c r="EX750" s="93"/>
      <c r="EY750" s="93"/>
      <c r="EZ750" s="93"/>
      <c r="FA750" s="93"/>
      <c r="FB750" s="93"/>
      <c r="FC750" s="93"/>
      <c r="FD750" s="93"/>
      <c r="FE750" s="93"/>
      <c r="FF750" s="93"/>
    </row>
    <row r="751" spans="1:162" ht="15.75" customHeight="1">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row>
    <row r="752" spans="1:162" ht="15.75" customHeight="1">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c r="CM752" s="93"/>
      <c r="CN752" s="93"/>
      <c r="CO752" s="93"/>
      <c r="CP752" s="93"/>
      <c r="CQ752" s="93"/>
      <c r="CR752" s="93"/>
      <c r="CS752" s="93"/>
      <c r="CT752" s="93"/>
      <c r="CU752" s="93"/>
      <c r="CV752" s="93"/>
      <c r="CW752" s="93"/>
      <c r="CX752" s="93"/>
      <c r="CY752" s="93"/>
      <c r="CZ752" s="93"/>
      <c r="DA752" s="93"/>
      <c r="DB752" s="93"/>
      <c r="DC752" s="93"/>
      <c r="DD752" s="93"/>
      <c r="DE752" s="93"/>
      <c r="DF752" s="93"/>
      <c r="DG752" s="93"/>
      <c r="DH752" s="93"/>
      <c r="DI752" s="93"/>
      <c r="DJ752" s="93"/>
      <c r="DK752" s="93"/>
      <c r="DL752" s="93"/>
      <c r="DM752" s="93"/>
      <c r="DN752" s="93"/>
      <c r="DO752" s="93"/>
      <c r="DP752" s="93"/>
      <c r="DQ752" s="93"/>
      <c r="DR752" s="93"/>
      <c r="DS752" s="93"/>
      <c r="DT752" s="93"/>
      <c r="DU752" s="93"/>
      <c r="DV752" s="93"/>
      <c r="DW752" s="93"/>
      <c r="DX752" s="93"/>
      <c r="DY752" s="93"/>
      <c r="DZ752" s="93"/>
      <c r="EA752" s="93"/>
      <c r="EB752" s="93"/>
      <c r="EC752" s="93"/>
      <c r="ED752" s="93"/>
      <c r="EE752" s="93"/>
      <c r="EF752" s="93"/>
      <c r="EG752" s="93"/>
      <c r="EH752" s="93"/>
      <c r="EI752" s="93"/>
      <c r="EJ752" s="93"/>
      <c r="EK752" s="93"/>
      <c r="EL752" s="93"/>
      <c r="EM752" s="93"/>
      <c r="EN752" s="93"/>
      <c r="EO752" s="93"/>
      <c r="EP752" s="93"/>
      <c r="EQ752" s="93"/>
      <c r="ER752" s="93"/>
      <c r="ES752" s="93"/>
      <c r="ET752" s="93"/>
      <c r="EU752" s="93"/>
      <c r="EV752" s="93"/>
      <c r="EW752" s="93"/>
      <c r="EX752" s="93"/>
      <c r="EY752" s="93"/>
      <c r="EZ752" s="93"/>
      <c r="FA752" s="93"/>
      <c r="FB752" s="93"/>
      <c r="FC752" s="93"/>
      <c r="FD752" s="93"/>
      <c r="FE752" s="93"/>
      <c r="FF752" s="93"/>
    </row>
    <row r="753" spans="1:162" ht="15.75" customHeight="1">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H753" s="93"/>
      <c r="EI753" s="93"/>
      <c r="EJ753" s="93"/>
      <c r="EK753" s="93"/>
      <c r="EL753" s="93"/>
      <c r="EM753" s="93"/>
      <c r="EN753" s="93"/>
      <c r="EO753" s="93"/>
      <c r="EP753" s="93"/>
      <c r="EQ753" s="93"/>
      <c r="ER753" s="93"/>
      <c r="ES753" s="93"/>
      <c r="ET753" s="93"/>
      <c r="EU753" s="93"/>
      <c r="EV753" s="93"/>
      <c r="EW753" s="93"/>
      <c r="EX753" s="93"/>
      <c r="EY753" s="93"/>
      <c r="EZ753" s="93"/>
      <c r="FA753" s="93"/>
      <c r="FB753" s="93"/>
      <c r="FC753" s="93"/>
      <c r="FD753" s="93"/>
      <c r="FE753" s="93"/>
      <c r="FF753" s="93"/>
    </row>
    <row r="754" spans="1:162" ht="15.75" customHeight="1">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c r="CM754" s="93"/>
      <c r="CN754" s="93"/>
      <c r="CO754" s="93"/>
      <c r="CP754" s="93"/>
      <c r="CQ754" s="93"/>
      <c r="CR754" s="93"/>
      <c r="CS754" s="93"/>
      <c r="CT754" s="93"/>
      <c r="CU754" s="93"/>
      <c r="CV754" s="93"/>
      <c r="CW754" s="93"/>
      <c r="CX754" s="93"/>
      <c r="CY754" s="93"/>
      <c r="CZ754" s="93"/>
      <c r="DA754" s="93"/>
      <c r="DB754" s="93"/>
      <c r="DC754" s="93"/>
      <c r="DD754" s="93"/>
      <c r="DE754" s="93"/>
      <c r="DF754" s="93"/>
      <c r="DG754" s="93"/>
      <c r="DH754" s="93"/>
      <c r="DI754" s="93"/>
      <c r="DJ754" s="93"/>
      <c r="DK754" s="93"/>
      <c r="DL754" s="93"/>
      <c r="DM754" s="93"/>
      <c r="DN754" s="93"/>
      <c r="DO754" s="93"/>
      <c r="DP754" s="93"/>
      <c r="DQ754" s="93"/>
      <c r="DR754" s="93"/>
      <c r="DS754" s="93"/>
      <c r="DT754" s="93"/>
      <c r="DU754" s="93"/>
      <c r="DV754" s="93"/>
      <c r="DW754" s="93"/>
      <c r="DX754" s="93"/>
      <c r="DY754" s="93"/>
      <c r="DZ754" s="93"/>
      <c r="EA754" s="93"/>
      <c r="EB754" s="93"/>
      <c r="EC754" s="93"/>
      <c r="ED754" s="93"/>
      <c r="EE754" s="93"/>
      <c r="EF754" s="93"/>
      <c r="EG754" s="93"/>
      <c r="EH754" s="93"/>
      <c r="EI754" s="93"/>
      <c r="EJ754" s="93"/>
      <c r="EK754" s="93"/>
      <c r="EL754" s="93"/>
      <c r="EM754" s="93"/>
      <c r="EN754" s="93"/>
      <c r="EO754" s="93"/>
      <c r="EP754" s="93"/>
      <c r="EQ754" s="93"/>
      <c r="ER754" s="93"/>
      <c r="ES754" s="93"/>
      <c r="ET754" s="93"/>
      <c r="EU754" s="93"/>
      <c r="EV754" s="93"/>
      <c r="EW754" s="93"/>
      <c r="EX754" s="93"/>
      <c r="EY754" s="93"/>
      <c r="EZ754" s="93"/>
      <c r="FA754" s="93"/>
      <c r="FB754" s="93"/>
      <c r="FC754" s="93"/>
      <c r="FD754" s="93"/>
      <c r="FE754" s="93"/>
      <c r="FF754" s="93"/>
    </row>
    <row r="755" spans="1:162" ht="15.75" customHeight="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c r="CW755" s="93"/>
      <c r="CX755" s="93"/>
      <c r="CY755" s="93"/>
      <c r="CZ755" s="93"/>
      <c r="DA755" s="93"/>
      <c r="DB755" s="93"/>
      <c r="DC755" s="93"/>
      <c r="DD755" s="93"/>
      <c r="DE755" s="93"/>
      <c r="DF755" s="93"/>
      <c r="DG755" s="93"/>
      <c r="DH755" s="93"/>
      <c r="DI755" s="93"/>
      <c r="DJ755" s="93"/>
      <c r="DK755" s="93"/>
      <c r="DL755" s="93"/>
      <c r="DM755" s="93"/>
      <c r="DN755" s="93"/>
      <c r="DO755" s="93"/>
      <c r="DP755" s="93"/>
      <c r="DQ755" s="93"/>
      <c r="DR755" s="93"/>
      <c r="DS755" s="93"/>
      <c r="DT755" s="93"/>
      <c r="DU755" s="93"/>
      <c r="DV755" s="93"/>
      <c r="DW755" s="93"/>
      <c r="DX755" s="93"/>
      <c r="DY755" s="93"/>
      <c r="DZ755" s="93"/>
      <c r="EA755" s="93"/>
      <c r="EB755" s="93"/>
      <c r="EC755" s="93"/>
      <c r="ED755" s="93"/>
      <c r="EE755" s="93"/>
      <c r="EF755" s="93"/>
      <c r="EG755" s="93"/>
      <c r="EH755" s="93"/>
      <c r="EI755" s="93"/>
      <c r="EJ755" s="93"/>
      <c r="EK755" s="93"/>
      <c r="EL755" s="93"/>
      <c r="EM755" s="93"/>
      <c r="EN755" s="93"/>
      <c r="EO755" s="93"/>
      <c r="EP755" s="93"/>
      <c r="EQ755" s="93"/>
      <c r="ER755" s="93"/>
      <c r="ES755" s="93"/>
      <c r="ET755" s="93"/>
      <c r="EU755" s="93"/>
      <c r="EV755" s="93"/>
      <c r="EW755" s="93"/>
      <c r="EX755" s="93"/>
      <c r="EY755" s="93"/>
      <c r="EZ755" s="93"/>
      <c r="FA755" s="93"/>
      <c r="FB755" s="93"/>
      <c r="FC755" s="93"/>
      <c r="FD755" s="93"/>
      <c r="FE755" s="93"/>
      <c r="FF755" s="93"/>
    </row>
    <row r="756" spans="1:162" ht="15.75" customHeight="1">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c r="CM756" s="93"/>
      <c r="CN756" s="93"/>
      <c r="CO756" s="93"/>
      <c r="CP756" s="93"/>
      <c r="CQ756" s="93"/>
      <c r="CR756" s="93"/>
      <c r="CS756" s="93"/>
      <c r="CT756" s="93"/>
      <c r="CU756" s="93"/>
      <c r="CV756" s="93"/>
      <c r="CW756" s="93"/>
      <c r="CX756" s="93"/>
      <c r="CY756" s="93"/>
      <c r="CZ756" s="93"/>
      <c r="DA756" s="93"/>
      <c r="DB756" s="93"/>
      <c r="DC756" s="93"/>
      <c r="DD756" s="93"/>
      <c r="DE756" s="93"/>
      <c r="DF756" s="93"/>
      <c r="DG756" s="93"/>
      <c r="DH756" s="93"/>
      <c r="DI756" s="93"/>
      <c r="DJ756" s="93"/>
      <c r="DK756" s="93"/>
      <c r="DL756" s="93"/>
      <c r="DM756" s="93"/>
      <c r="DN756" s="93"/>
      <c r="DO756" s="93"/>
      <c r="DP756" s="93"/>
      <c r="DQ756" s="93"/>
      <c r="DR756" s="93"/>
      <c r="DS756" s="93"/>
      <c r="DT756" s="93"/>
      <c r="DU756" s="93"/>
      <c r="DV756" s="93"/>
      <c r="DW756" s="93"/>
      <c r="DX756" s="93"/>
      <c r="DY756" s="93"/>
      <c r="DZ756" s="93"/>
      <c r="EA756" s="93"/>
      <c r="EB756" s="93"/>
      <c r="EC756" s="93"/>
      <c r="ED756" s="93"/>
      <c r="EE756" s="93"/>
      <c r="EF756" s="93"/>
      <c r="EG756" s="93"/>
      <c r="EH756" s="93"/>
      <c r="EI756" s="93"/>
      <c r="EJ756" s="93"/>
      <c r="EK756" s="93"/>
      <c r="EL756" s="93"/>
      <c r="EM756" s="93"/>
      <c r="EN756" s="93"/>
      <c r="EO756" s="93"/>
      <c r="EP756" s="93"/>
      <c r="EQ756" s="93"/>
      <c r="ER756" s="93"/>
      <c r="ES756" s="93"/>
      <c r="ET756" s="93"/>
      <c r="EU756" s="93"/>
      <c r="EV756" s="93"/>
      <c r="EW756" s="93"/>
      <c r="EX756" s="93"/>
      <c r="EY756" s="93"/>
      <c r="EZ756" s="93"/>
      <c r="FA756" s="93"/>
      <c r="FB756" s="93"/>
      <c r="FC756" s="93"/>
      <c r="FD756" s="93"/>
      <c r="FE756" s="93"/>
      <c r="FF756" s="93"/>
    </row>
    <row r="757" spans="1:162" ht="15.75" customHeight="1">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c r="CM757" s="93"/>
      <c r="CN757" s="93"/>
      <c r="CO757" s="93"/>
      <c r="CP757" s="93"/>
      <c r="CQ757" s="93"/>
      <c r="CR757" s="93"/>
      <c r="CS757" s="93"/>
      <c r="CT757" s="93"/>
      <c r="CU757" s="93"/>
      <c r="CV757" s="93"/>
      <c r="CW757" s="93"/>
      <c r="CX757" s="93"/>
      <c r="CY757" s="93"/>
      <c r="CZ757" s="93"/>
      <c r="DA757" s="93"/>
      <c r="DB757" s="93"/>
      <c r="DC757" s="93"/>
      <c r="DD757" s="93"/>
      <c r="DE757" s="93"/>
      <c r="DF757" s="93"/>
      <c r="DG757" s="93"/>
      <c r="DH757" s="93"/>
      <c r="DI757" s="93"/>
      <c r="DJ757" s="93"/>
      <c r="DK757" s="93"/>
      <c r="DL757" s="93"/>
      <c r="DM757" s="93"/>
      <c r="DN757" s="93"/>
      <c r="DO757" s="93"/>
      <c r="DP757" s="93"/>
      <c r="DQ757" s="93"/>
      <c r="DR757" s="93"/>
      <c r="DS757" s="93"/>
      <c r="DT757" s="93"/>
      <c r="DU757" s="93"/>
      <c r="DV757" s="93"/>
      <c r="DW757" s="93"/>
      <c r="DX757" s="93"/>
      <c r="DY757" s="93"/>
      <c r="DZ757" s="93"/>
      <c r="EA757" s="93"/>
      <c r="EB757" s="93"/>
      <c r="EC757" s="93"/>
      <c r="ED757" s="93"/>
      <c r="EE757" s="93"/>
      <c r="EF757" s="93"/>
      <c r="EG757" s="93"/>
      <c r="EH757" s="93"/>
      <c r="EI757" s="93"/>
      <c r="EJ757" s="93"/>
      <c r="EK757" s="93"/>
      <c r="EL757" s="93"/>
      <c r="EM757" s="93"/>
      <c r="EN757" s="93"/>
      <c r="EO757" s="93"/>
      <c r="EP757" s="93"/>
      <c r="EQ757" s="93"/>
      <c r="ER757" s="93"/>
      <c r="ES757" s="93"/>
      <c r="ET757" s="93"/>
      <c r="EU757" s="93"/>
      <c r="EV757" s="93"/>
      <c r="EW757" s="93"/>
      <c r="EX757" s="93"/>
      <c r="EY757" s="93"/>
      <c r="EZ757" s="93"/>
      <c r="FA757" s="93"/>
      <c r="FB757" s="93"/>
      <c r="FC757" s="93"/>
      <c r="FD757" s="93"/>
      <c r="FE757" s="93"/>
      <c r="FF757" s="93"/>
    </row>
    <row r="758" spans="1:162" ht="15.75" customHeight="1">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c r="CM758" s="93"/>
      <c r="CN758" s="93"/>
      <c r="CO758" s="93"/>
      <c r="CP758" s="93"/>
      <c r="CQ758" s="93"/>
      <c r="CR758" s="93"/>
      <c r="CS758" s="93"/>
      <c r="CT758" s="93"/>
      <c r="CU758" s="93"/>
      <c r="CV758" s="93"/>
      <c r="CW758" s="93"/>
      <c r="CX758" s="93"/>
      <c r="CY758" s="93"/>
      <c r="CZ758" s="93"/>
      <c r="DA758" s="93"/>
      <c r="DB758" s="93"/>
      <c r="DC758" s="93"/>
      <c r="DD758" s="93"/>
      <c r="DE758" s="93"/>
      <c r="DF758" s="93"/>
      <c r="DG758" s="93"/>
      <c r="DH758" s="93"/>
      <c r="DI758" s="93"/>
      <c r="DJ758" s="93"/>
      <c r="DK758" s="93"/>
      <c r="DL758" s="93"/>
      <c r="DM758" s="93"/>
      <c r="DN758" s="93"/>
      <c r="DO758" s="93"/>
      <c r="DP758" s="93"/>
      <c r="DQ758" s="93"/>
      <c r="DR758" s="93"/>
      <c r="DS758" s="93"/>
      <c r="DT758" s="93"/>
      <c r="DU758" s="93"/>
      <c r="DV758" s="93"/>
      <c r="DW758" s="93"/>
      <c r="DX758" s="93"/>
      <c r="DY758" s="93"/>
      <c r="DZ758" s="93"/>
      <c r="EA758" s="93"/>
      <c r="EB758" s="93"/>
      <c r="EC758" s="93"/>
      <c r="ED758" s="93"/>
      <c r="EE758" s="93"/>
      <c r="EF758" s="93"/>
      <c r="EG758" s="93"/>
      <c r="EH758" s="93"/>
      <c r="EI758" s="93"/>
      <c r="EJ758" s="93"/>
      <c r="EK758" s="93"/>
      <c r="EL758" s="93"/>
      <c r="EM758" s="93"/>
      <c r="EN758" s="93"/>
      <c r="EO758" s="93"/>
      <c r="EP758" s="93"/>
      <c r="EQ758" s="93"/>
      <c r="ER758" s="93"/>
      <c r="ES758" s="93"/>
      <c r="ET758" s="93"/>
      <c r="EU758" s="93"/>
      <c r="EV758" s="93"/>
      <c r="EW758" s="93"/>
      <c r="EX758" s="93"/>
      <c r="EY758" s="93"/>
      <c r="EZ758" s="93"/>
      <c r="FA758" s="93"/>
      <c r="FB758" s="93"/>
      <c r="FC758" s="93"/>
      <c r="FD758" s="93"/>
      <c r="FE758" s="93"/>
      <c r="FF758" s="93"/>
    </row>
    <row r="759" spans="1:162" ht="15.75" customHeight="1">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c r="CM759" s="93"/>
      <c r="CN759" s="93"/>
      <c r="CO759" s="93"/>
      <c r="CP759" s="93"/>
      <c r="CQ759" s="93"/>
      <c r="CR759" s="93"/>
      <c r="CS759" s="93"/>
      <c r="CT759" s="93"/>
      <c r="CU759" s="93"/>
      <c r="CV759" s="93"/>
      <c r="CW759" s="93"/>
      <c r="CX759" s="93"/>
      <c r="CY759" s="93"/>
      <c r="CZ759" s="93"/>
      <c r="DA759" s="93"/>
      <c r="DB759" s="93"/>
      <c r="DC759" s="93"/>
      <c r="DD759" s="93"/>
      <c r="DE759" s="93"/>
      <c r="DF759" s="93"/>
      <c r="DG759" s="93"/>
      <c r="DH759" s="93"/>
      <c r="DI759" s="93"/>
      <c r="DJ759" s="93"/>
      <c r="DK759" s="93"/>
      <c r="DL759" s="93"/>
      <c r="DM759" s="93"/>
      <c r="DN759" s="93"/>
      <c r="DO759" s="93"/>
      <c r="DP759" s="93"/>
      <c r="DQ759" s="93"/>
      <c r="DR759" s="93"/>
      <c r="DS759" s="93"/>
      <c r="DT759" s="93"/>
      <c r="DU759" s="93"/>
      <c r="DV759" s="93"/>
      <c r="DW759" s="93"/>
      <c r="DX759" s="93"/>
      <c r="DY759" s="93"/>
      <c r="DZ759" s="93"/>
      <c r="EA759" s="93"/>
      <c r="EB759" s="93"/>
      <c r="EC759" s="93"/>
      <c r="ED759" s="93"/>
      <c r="EE759" s="93"/>
      <c r="EF759" s="93"/>
      <c r="EG759" s="93"/>
      <c r="EH759" s="93"/>
      <c r="EI759" s="93"/>
      <c r="EJ759" s="93"/>
      <c r="EK759" s="93"/>
      <c r="EL759" s="93"/>
      <c r="EM759" s="93"/>
      <c r="EN759" s="93"/>
      <c r="EO759" s="93"/>
      <c r="EP759" s="93"/>
      <c r="EQ759" s="93"/>
      <c r="ER759" s="93"/>
      <c r="ES759" s="93"/>
      <c r="ET759" s="93"/>
      <c r="EU759" s="93"/>
      <c r="EV759" s="93"/>
      <c r="EW759" s="93"/>
      <c r="EX759" s="93"/>
      <c r="EY759" s="93"/>
      <c r="EZ759" s="93"/>
      <c r="FA759" s="93"/>
      <c r="FB759" s="93"/>
      <c r="FC759" s="93"/>
      <c r="FD759" s="93"/>
      <c r="FE759" s="93"/>
      <c r="FF759" s="93"/>
    </row>
    <row r="760" spans="1:162" ht="15.75" customHeight="1">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c r="CM760" s="93"/>
      <c r="CN760" s="93"/>
      <c r="CO760" s="93"/>
      <c r="CP760" s="93"/>
      <c r="CQ760" s="93"/>
      <c r="CR760" s="93"/>
      <c r="CS760" s="93"/>
      <c r="CT760" s="93"/>
      <c r="CU760" s="93"/>
      <c r="CV760" s="93"/>
      <c r="CW760" s="93"/>
      <c r="CX760" s="93"/>
      <c r="CY760" s="93"/>
      <c r="CZ760" s="93"/>
      <c r="DA760" s="93"/>
      <c r="DB760" s="93"/>
      <c r="DC760" s="93"/>
      <c r="DD760" s="93"/>
      <c r="DE760" s="93"/>
      <c r="DF760" s="93"/>
      <c r="DG760" s="93"/>
      <c r="DH760" s="93"/>
      <c r="DI760" s="93"/>
      <c r="DJ760" s="93"/>
      <c r="DK760" s="93"/>
      <c r="DL760" s="93"/>
      <c r="DM760" s="93"/>
      <c r="DN760" s="93"/>
      <c r="DO760" s="93"/>
      <c r="DP760" s="93"/>
      <c r="DQ760" s="93"/>
      <c r="DR760" s="93"/>
      <c r="DS760" s="93"/>
      <c r="DT760" s="93"/>
      <c r="DU760" s="93"/>
      <c r="DV760" s="93"/>
      <c r="DW760" s="93"/>
      <c r="DX760" s="93"/>
      <c r="DY760" s="93"/>
      <c r="DZ760" s="93"/>
      <c r="EA760" s="93"/>
      <c r="EB760" s="93"/>
      <c r="EC760" s="93"/>
      <c r="ED760" s="93"/>
      <c r="EE760" s="93"/>
      <c r="EF760" s="93"/>
      <c r="EG760" s="93"/>
      <c r="EH760" s="93"/>
      <c r="EI760" s="93"/>
      <c r="EJ760" s="93"/>
      <c r="EK760" s="93"/>
      <c r="EL760" s="93"/>
      <c r="EM760" s="93"/>
      <c r="EN760" s="93"/>
      <c r="EO760" s="93"/>
      <c r="EP760" s="93"/>
      <c r="EQ760" s="93"/>
      <c r="ER760" s="93"/>
      <c r="ES760" s="93"/>
      <c r="ET760" s="93"/>
      <c r="EU760" s="93"/>
      <c r="EV760" s="93"/>
      <c r="EW760" s="93"/>
      <c r="EX760" s="93"/>
      <c r="EY760" s="93"/>
      <c r="EZ760" s="93"/>
      <c r="FA760" s="93"/>
      <c r="FB760" s="93"/>
      <c r="FC760" s="93"/>
      <c r="FD760" s="93"/>
      <c r="FE760" s="93"/>
      <c r="FF760" s="93"/>
    </row>
    <row r="761" spans="1:162" ht="15.75" customHeight="1">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c r="CM761" s="93"/>
      <c r="CN761" s="93"/>
      <c r="CO761" s="93"/>
      <c r="CP761" s="93"/>
      <c r="CQ761" s="93"/>
      <c r="CR761" s="93"/>
      <c r="CS761" s="93"/>
      <c r="CT761" s="93"/>
      <c r="CU761" s="93"/>
      <c r="CV761" s="93"/>
      <c r="CW761" s="93"/>
      <c r="CX761" s="93"/>
      <c r="CY761" s="93"/>
      <c r="CZ761" s="93"/>
      <c r="DA761" s="93"/>
      <c r="DB761" s="93"/>
      <c r="DC761" s="93"/>
      <c r="DD761" s="93"/>
      <c r="DE761" s="93"/>
      <c r="DF761" s="93"/>
      <c r="DG761" s="93"/>
      <c r="DH761" s="93"/>
      <c r="DI761" s="93"/>
      <c r="DJ761" s="93"/>
      <c r="DK761" s="93"/>
      <c r="DL761" s="93"/>
      <c r="DM761" s="93"/>
      <c r="DN761" s="93"/>
      <c r="DO761" s="93"/>
      <c r="DP761" s="93"/>
      <c r="DQ761" s="93"/>
      <c r="DR761" s="93"/>
      <c r="DS761" s="93"/>
      <c r="DT761" s="93"/>
      <c r="DU761" s="93"/>
      <c r="DV761" s="93"/>
      <c r="DW761" s="93"/>
      <c r="DX761" s="93"/>
      <c r="DY761" s="93"/>
      <c r="DZ761" s="93"/>
      <c r="EA761" s="93"/>
      <c r="EB761" s="93"/>
      <c r="EC761" s="93"/>
      <c r="ED761" s="93"/>
      <c r="EE761" s="93"/>
      <c r="EF761" s="93"/>
      <c r="EG761" s="93"/>
      <c r="EH761" s="93"/>
      <c r="EI761" s="93"/>
      <c r="EJ761" s="93"/>
      <c r="EK761" s="93"/>
      <c r="EL761" s="93"/>
      <c r="EM761" s="93"/>
      <c r="EN761" s="93"/>
      <c r="EO761" s="93"/>
      <c r="EP761" s="93"/>
      <c r="EQ761" s="93"/>
      <c r="ER761" s="93"/>
      <c r="ES761" s="93"/>
      <c r="ET761" s="93"/>
      <c r="EU761" s="93"/>
      <c r="EV761" s="93"/>
      <c r="EW761" s="93"/>
      <c r="EX761" s="93"/>
      <c r="EY761" s="93"/>
      <c r="EZ761" s="93"/>
      <c r="FA761" s="93"/>
      <c r="FB761" s="93"/>
      <c r="FC761" s="93"/>
      <c r="FD761" s="93"/>
      <c r="FE761" s="93"/>
      <c r="FF761" s="93"/>
    </row>
    <row r="762" spans="1:162" ht="15.75" customHeight="1">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c r="CM762" s="93"/>
      <c r="CN762" s="93"/>
      <c r="CO762" s="93"/>
      <c r="CP762" s="93"/>
      <c r="CQ762" s="93"/>
      <c r="CR762" s="93"/>
      <c r="CS762" s="93"/>
      <c r="CT762" s="93"/>
      <c r="CU762" s="93"/>
      <c r="CV762" s="93"/>
      <c r="CW762" s="93"/>
      <c r="CX762" s="93"/>
      <c r="CY762" s="93"/>
      <c r="CZ762" s="93"/>
      <c r="DA762" s="93"/>
      <c r="DB762" s="93"/>
      <c r="DC762" s="93"/>
      <c r="DD762" s="93"/>
      <c r="DE762" s="93"/>
      <c r="DF762" s="93"/>
      <c r="DG762" s="93"/>
      <c r="DH762" s="93"/>
      <c r="DI762" s="93"/>
      <c r="DJ762" s="93"/>
      <c r="DK762" s="93"/>
      <c r="DL762" s="93"/>
      <c r="DM762" s="93"/>
      <c r="DN762" s="93"/>
      <c r="DO762" s="93"/>
      <c r="DP762" s="93"/>
      <c r="DQ762" s="93"/>
      <c r="DR762" s="93"/>
      <c r="DS762" s="93"/>
      <c r="DT762" s="93"/>
      <c r="DU762" s="93"/>
      <c r="DV762" s="93"/>
      <c r="DW762" s="93"/>
      <c r="DX762" s="93"/>
      <c r="DY762" s="93"/>
      <c r="DZ762" s="93"/>
      <c r="EA762" s="93"/>
      <c r="EB762" s="93"/>
      <c r="EC762" s="93"/>
      <c r="ED762" s="93"/>
      <c r="EE762" s="93"/>
      <c r="EF762" s="93"/>
      <c r="EG762" s="93"/>
      <c r="EH762" s="93"/>
      <c r="EI762" s="93"/>
      <c r="EJ762" s="93"/>
      <c r="EK762" s="93"/>
      <c r="EL762" s="93"/>
      <c r="EM762" s="93"/>
      <c r="EN762" s="93"/>
      <c r="EO762" s="93"/>
      <c r="EP762" s="93"/>
      <c r="EQ762" s="93"/>
      <c r="ER762" s="93"/>
      <c r="ES762" s="93"/>
      <c r="ET762" s="93"/>
      <c r="EU762" s="93"/>
      <c r="EV762" s="93"/>
      <c r="EW762" s="93"/>
      <c r="EX762" s="93"/>
      <c r="EY762" s="93"/>
      <c r="EZ762" s="93"/>
      <c r="FA762" s="93"/>
      <c r="FB762" s="93"/>
      <c r="FC762" s="93"/>
      <c r="FD762" s="93"/>
      <c r="FE762" s="93"/>
      <c r="FF762" s="93"/>
    </row>
    <row r="763" spans="1:162" ht="15.75" customHeight="1">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c r="CM763" s="93"/>
      <c r="CN763" s="93"/>
      <c r="CO763" s="93"/>
      <c r="CP763" s="93"/>
      <c r="CQ763" s="93"/>
      <c r="CR763" s="93"/>
      <c r="CS763" s="93"/>
      <c r="CT763" s="93"/>
      <c r="CU763" s="93"/>
      <c r="CV763" s="93"/>
      <c r="CW763" s="93"/>
      <c r="CX763" s="93"/>
      <c r="CY763" s="93"/>
      <c r="CZ763" s="93"/>
      <c r="DA763" s="93"/>
      <c r="DB763" s="93"/>
      <c r="DC763" s="93"/>
      <c r="DD763" s="93"/>
      <c r="DE763" s="93"/>
      <c r="DF763" s="93"/>
      <c r="DG763" s="93"/>
      <c r="DH763" s="93"/>
      <c r="DI763" s="93"/>
      <c r="DJ763" s="93"/>
      <c r="DK763" s="93"/>
      <c r="DL763" s="93"/>
      <c r="DM763" s="93"/>
      <c r="DN763" s="93"/>
      <c r="DO763" s="93"/>
      <c r="DP763" s="93"/>
      <c r="DQ763" s="93"/>
      <c r="DR763" s="93"/>
      <c r="DS763" s="93"/>
      <c r="DT763" s="93"/>
      <c r="DU763" s="93"/>
      <c r="DV763" s="93"/>
      <c r="DW763" s="93"/>
      <c r="DX763" s="93"/>
      <c r="DY763" s="93"/>
      <c r="DZ763" s="93"/>
      <c r="EA763" s="93"/>
      <c r="EB763" s="93"/>
      <c r="EC763" s="93"/>
      <c r="ED763" s="93"/>
      <c r="EE763" s="93"/>
      <c r="EF763" s="93"/>
      <c r="EG763" s="93"/>
      <c r="EH763" s="93"/>
      <c r="EI763" s="93"/>
      <c r="EJ763" s="93"/>
      <c r="EK763" s="93"/>
      <c r="EL763" s="93"/>
      <c r="EM763" s="93"/>
      <c r="EN763" s="93"/>
      <c r="EO763" s="93"/>
      <c r="EP763" s="93"/>
      <c r="EQ763" s="93"/>
      <c r="ER763" s="93"/>
      <c r="ES763" s="93"/>
      <c r="ET763" s="93"/>
      <c r="EU763" s="93"/>
      <c r="EV763" s="93"/>
      <c r="EW763" s="93"/>
      <c r="EX763" s="93"/>
      <c r="EY763" s="93"/>
      <c r="EZ763" s="93"/>
      <c r="FA763" s="93"/>
      <c r="FB763" s="93"/>
      <c r="FC763" s="93"/>
      <c r="FD763" s="93"/>
      <c r="FE763" s="93"/>
      <c r="FF763" s="93"/>
    </row>
    <row r="764" spans="1:162" ht="15.75" customHeight="1">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c r="CM764" s="93"/>
      <c r="CN764" s="93"/>
      <c r="CO764" s="93"/>
      <c r="CP764" s="93"/>
      <c r="CQ764" s="93"/>
      <c r="CR764" s="93"/>
      <c r="CS764" s="93"/>
      <c r="CT764" s="93"/>
      <c r="CU764" s="93"/>
      <c r="CV764" s="93"/>
      <c r="CW764" s="93"/>
      <c r="CX764" s="93"/>
      <c r="CY764" s="93"/>
      <c r="CZ764" s="93"/>
      <c r="DA764" s="93"/>
      <c r="DB764" s="93"/>
      <c r="DC764" s="93"/>
      <c r="DD764" s="93"/>
      <c r="DE764" s="93"/>
      <c r="DF764" s="93"/>
      <c r="DG764" s="93"/>
      <c r="DH764" s="93"/>
      <c r="DI764" s="93"/>
      <c r="DJ764" s="93"/>
      <c r="DK764" s="93"/>
      <c r="DL764" s="93"/>
      <c r="DM764" s="93"/>
      <c r="DN764" s="93"/>
      <c r="DO764" s="93"/>
      <c r="DP764" s="93"/>
      <c r="DQ764" s="93"/>
      <c r="DR764" s="93"/>
      <c r="DS764" s="93"/>
      <c r="DT764" s="93"/>
      <c r="DU764" s="93"/>
      <c r="DV764" s="93"/>
      <c r="DW764" s="93"/>
      <c r="DX764" s="93"/>
      <c r="DY764" s="93"/>
      <c r="DZ764" s="93"/>
      <c r="EA764" s="93"/>
      <c r="EB764" s="93"/>
      <c r="EC764" s="93"/>
      <c r="ED764" s="93"/>
      <c r="EE764" s="93"/>
      <c r="EF764" s="93"/>
      <c r="EG764" s="93"/>
      <c r="EH764" s="93"/>
      <c r="EI764" s="93"/>
      <c r="EJ764" s="93"/>
      <c r="EK764" s="93"/>
      <c r="EL764" s="93"/>
      <c r="EM764" s="93"/>
      <c r="EN764" s="93"/>
      <c r="EO764" s="93"/>
      <c r="EP764" s="93"/>
      <c r="EQ764" s="93"/>
      <c r="ER764" s="93"/>
      <c r="ES764" s="93"/>
      <c r="ET764" s="93"/>
      <c r="EU764" s="93"/>
      <c r="EV764" s="93"/>
      <c r="EW764" s="93"/>
      <c r="EX764" s="93"/>
      <c r="EY764" s="93"/>
      <c r="EZ764" s="93"/>
      <c r="FA764" s="93"/>
      <c r="FB764" s="93"/>
      <c r="FC764" s="93"/>
      <c r="FD764" s="93"/>
      <c r="FE764" s="93"/>
      <c r="FF764" s="93"/>
    </row>
    <row r="765" spans="1:162" ht="15.75" customHeight="1">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c r="CM765" s="93"/>
      <c r="CN765" s="93"/>
      <c r="CO765" s="93"/>
      <c r="CP765" s="93"/>
      <c r="CQ765" s="93"/>
      <c r="CR765" s="93"/>
      <c r="CS765" s="93"/>
      <c r="CT765" s="93"/>
      <c r="CU765" s="93"/>
      <c r="CV765" s="93"/>
      <c r="CW765" s="93"/>
      <c r="CX765" s="93"/>
      <c r="CY765" s="93"/>
      <c r="CZ765" s="93"/>
      <c r="DA765" s="93"/>
      <c r="DB765" s="93"/>
      <c r="DC765" s="93"/>
      <c r="DD765" s="93"/>
      <c r="DE765" s="93"/>
      <c r="DF765" s="93"/>
      <c r="DG765" s="93"/>
      <c r="DH765" s="93"/>
      <c r="DI765" s="93"/>
      <c r="DJ765" s="93"/>
      <c r="DK765" s="93"/>
      <c r="DL765" s="93"/>
      <c r="DM765" s="93"/>
      <c r="DN765" s="93"/>
      <c r="DO765" s="93"/>
      <c r="DP765" s="93"/>
      <c r="DQ765" s="93"/>
      <c r="DR765" s="93"/>
      <c r="DS765" s="93"/>
      <c r="DT765" s="93"/>
      <c r="DU765" s="93"/>
      <c r="DV765" s="93"/>
      <c r="DW765" s="93"/>
      <c r="DX765" s="93"/>
      <c r="DY765" s="93"/>
      <c r="DZ765" s="93"/>
      <c r="EA765" s="93"/>
      <c r="EB765" s="93"/>
      <c r="EC765" s="93"/>
      <c r="ED765" s="93"/>
      <c r="EE765" s="93"/>
      <c r="EF765" s="93"/>
      <c r="EG765" s="93"/>
      <c r="EH765" s="93"/>
      <c r="EI765" s="93"/>
      <c r="EJ765" s="93"/>
      <c r="EK765" s="93"/>
      <c r="EL765" s="93"/>
      <c r="EM765" s="93"/>
      <c r="EN765" s="93"/>
      <c r="EO765" s="93"/>
      <c r="EP765" s="93"/>
      <c r="EQ765" s="93"/>
      <c r="ER765" s="93"/>
      <c r="ES765" s="93"/>
      <c r="ET765" s="93"/>
      <c r="EU765" s="93"/>
      <c r="EV765" s="93"/>
      <c r="EW765" s="93"/>
      <c r="EX765" s="93"/>
      <c r="EY765" s="93"/>
      <c r="EZ765" s="93"/>
      <c r="FA765" s="93"/>
      <c r="FB765" s="93"/>
      <c r="FC765" s="93"/>
      <c r="FD765" s="93"/>
      <c r="FE765" s="93"/>
      <c r="FF765" s="93"/>
    </row>
    <row r="766" spans="1:162" ht="15.75" customHeight="1">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c r="CM766" s="93"/>
      <c r="CN766" s="93"/>
      <c r="CO766" s="93"/>
      <c r="CP766" s="93"/>
      <c r="CQ766" s="93"/>
      <c r="CR766" s="93"/>
      <c r="CS766" s="93"/>
      <c r="CT766" s="93"/>
      <c r="CU766" s="93"/>
      <c r="CV766" s="93"/>
      <c r="CW766" s="93"/>
      <c r="CX766" s="93"/>
      <c r="CY766" s="93"/>
      <c r="CZ766" s="93"/>
      <c r="DA766" s="93"/>
      <c r="DB766" s="93"/>
      <c r="DC766" s="93"/>
      <c r="DD766" s="93"/>
      <c r="DE766" s="93"/>
      <c r="DF766" s="93"/>
      <c r="DG766" s="93"/>
      <c r="DH766" s="93"/>
      <c r="DI766" s="93"/>
      <c r="DJ766" s="93"/>
      <c r="DK766" s="93"/>
      <c r="DL766" s="93"/>
      <c r="DM766" s="93"/>
      <c r="DN766" s="93"/>
      <c r="DO766" s="93"/>
      <c r="DP766" s="93"/>
      <c r="DQ766" s="93"/>
      <c r="DR766" s="93"/>
      <c r="DS766" s="93"/>
      <c r="DT766" s="93"/>
      <c r="DU766" s="93"/>
      <c r="DV766" s="93"/>
      <c r="DW766" s="93"/>
      <c r="DX766" s="93"/>
      <c r="DY766" s="93"/>
      <c r="DZ766" s="93"/>
      <c r="EA766" s="93"/>
      <c r="EB766" s="93"/>
      <c r="EC766" s="93"/>
      <c r="ED766" s="93"/>
      <c r="EE766" s="93"/>
      <c r="EF766" s="93"/>
      <c r="EG766" s="93"/>
      <c r="EH766" s="93"/>
      <c r="EI766" s="93"/>
      <c r="EJ766" s="93"/>
      <c r="EK766" s="93"/>
      <c r="EL766" s="93"/>
      <c r="EM766" s="93"/>
      <c r="EN766" s="93"/>
      <c r="EO766" s="93"/>
      <c r="EP766" s="93"/>
      <c r="EQ766" s="93"/>
      <c r="ER766" s="93"/>
      <c r="ES766" s="93"/>
      <c r="ET766" s="93"/>
      <c r="EU766" s="93"/>
      <c r="EV766" s="93"/>
      <c r="EW766" s="93"/>
      <c r="EX766" s="93"/>
      <c r="EY766" s="93"/>
      <c r="EZ766" s="93"/>
      <c r="FA766" s="93"/>
      <c r="FB766" s="93"/>
      <c r="FC766" s="93"/>
      <c r="FD766" s="93"/>
      <c r="FE766" s="93"/>
      <c r="FF766" s="93"/>
    </row>
    <row r="767" spans="1:162" ht="15.75" customHeight="1">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93"/>
      <c r="DV767" s="93"/>
      <c r="DW767" s="93"/>
      <c r="DX767" s="93"/>
      <c r="DY767" s="93"/>
      <c r="DZ767" s="93"/>
      <c r="EA767" s="93"/>
      <c r="EB767" s="93"/>
      <c r="EC767" s="93"/>
      <c r="ED767" s="93"/>
      <c r="EE767" s="93"/>
      <c r="EF767" s="93"/>
      <c r="EG767" s="93"/>
      <c r="EH767" s="93"/>
      <c r="EI767" s="93"/>
      <c r="EJ767" s="93"/>
      <c r="EK767" s="93"/>
      <c r="EL767" s="93"/>
      <c r="EM767" s="93"/>
      <c r="EN767" s="93"/>
      <c r="EO767" s="93"/>
      <c r="EP767" s="93"/>
      <c r="EQ767" s="93"/>
      <c r="ER767" s="93"/>
      <c r="ES767" s="93"/>
      <c r="ET767" s="93"/>
      <c r="EU767" s="93"/>
      <c r="EV767" s="93"/>
      <c r="EW767" s="93"/>
      <c r="EX767" s="93"/>
      <c r="EY767" s="93"/>
      <c r="EZ767" s="93"/>
      <c r="FA767" s="93"/>
      <c r="FB767" s="93"/>
      <c r="FC767" s="93"/>
      <c r="FD767" s="93"/>
      <c r="FE767" s="93"/>
      <c r="FF767" s="93"/>
    </row>
    <row r="768" spans="1:162" ht="15.75" customHeight="1">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c r="CM768" s="93"/>
      <c r="CN768" s="93"/>
      <c r="CO768" s="93"/>
      <c r="CP768" s="93"/>
      <c r="CQ768" s="93"/>
      <c r="CR768" s="93"/>
      <c r="CS768" s="93"/>
      <c r="CT768" s="93"/>
      <c r="CU768" s="93"/>
      <c r="CV768" s="93"/>
      <c r="CW768" s="93"/>
      <c r="CX768" s="93"/>
      <c r="CY768" s="93"/>
      <c r="CZ768" s="93"/>
      <c r="DA768" s="93"/>
      <c r="DB768" s="93"/>
      <c r="DC768" s="93"/>
      <c r="DD768" s="93"/>
      <c r="DE768" s="93"/>
      <c r="DF768" s="93"/>
      <c r="DG768" s="93"/>
      <c r="DH768" s="93"/>
      <c r="DI768" s="93"/>
      <c r="DJ768" s="93"/>
      <c r="DK768" s="93"/>
      <c r="DL768" s="93"/>
      <c r="DM768" s="93"/>
      <c r="DN768" s="93"/>
      <c r="DO768" s="93"/>
      <c r="DP768" s="93"/>
      <c r="DQ768" s="93"/>
      <c r="DR768" s="93"/>
      <c r="DS768" s="93"/>
      <c r="DT768" s="93"/>
      <c r="DU768" s="93"/>
      <c r="DV768" s="93"/>
      <c r="DW768" s="93"/>
      <c r="DX768" s="93"/>
      <c r="DY768" s="93"/>
      <c r="DZ768" s="93"/>
      <c r="EA768" s="93"/>
      <c r="EB768" s="93"/>
      <c r="EC768" s="93"/>
      <c r="ED768" s="93"/>
      <c r="EE768" s="93"/>
      <c r="EF768" s="93"/>
      <c r="EG768" s="93"/>
      <c r="EH768" s="93"/>
      <c r="EI768" s="93"/>
      <c r="EJ768" s="93"/>
      <c r="EK768" s="93"/>
      <c r="EL768" s="93"/>
      <c r="EM768" s="93"/>
      <c r="EN768" s="93"/>
      <c r="EO768" s="93"/>
      <c r="EP768" s="93"/>
      <c r="EQ768" s="93"/>
      <c r="ER768" s="93"/>
      <c r="ES768" s="93"/>
      <c r="ET768" s="93"/>
      <c r="EU768" s="93"/>
      <c r="EV768" s="93"/>
      <c r="EW768" s="93"/>
      <c r="EX768" s="93"/>
      <c r="EY768" s="93"/>
      <c r="EZ768" s="93"/>
      <c r="FA768" s="93"/>
      <c r="FB768" s="93"/>
      <c r="FC768" s="93"/>
      <c r="FD768" s="93"/>
      <c r="FE768" s="93"/>
      <c r="FF768" s="93"/>
    </row>
    <row r="769" spans="1:162" ht="15.75" customHeight="1">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c r="CQ769" s="93"/>
      <c r="CR769" s="93"/>
      <c r="CS769" s="93"/>
      <c r="CT769" s="93"/>
      <c r="CU769" s="93"/>
      <c r="CV769" s="93"/>
      <c r="CW769" s="93"/>
      <c r="CX769" s="93"/>
      <c r="CY769" s="93"/>
      <c r="CZ769" s="93"/>
      <c r="DA769" s="93"/>
      <c r="DB769" s="93"/>
      <c r="DC769" s="93"/>
      <c r="DD769" s="93"/>
      <c r="DE769" s="93"/>
      <c r="DF769" s="93"/>
      <c r="DG769" s="93"/>
      <c r="DH769" s="93"/>
      <c r="DI769" s="93"/>
      <c r="DJ769" s="93"/>
      <c r="DK769" s="93"/>
      <c r="DL769" s="93"/>
      <c r="DM769" s="93"/>
      <c r="DN769" s="93"/>
      <c r="DO769" s="93"/>
      <c r="DP769" s="93"/>
      <c r="DQ769" s="93"/>
      <c r="DR769" s="93"/>
      <c r="DS769" s="93"/>
      <c r="DT769" s="93"/>
      <c r="DU769" s="93"/>
      <c r="DV769" s="93"/>
      <c r="DW769" s="93"/>
      <c r="DX769" s="93"/>
      <c r="DY769" s="93"/>
      <c r="DZ769" s="93"/>
      <c r="EA769" s="93"/>
      <c r="EB769" s="93"/>
      <c r="EC769" s="93"/>
      <c r="ED769" s="93"/>
      <c r="EE769" s="93"/>
      <c r="EF769" s="93"/>
      <c r="EG769" s="93"/>
      <c r="EH769" s="93"/>
      <c r="EI769" s="93"/>
      <c r="EJ769" s="93"/>
      <c r="EK769" s="93"/>
      <c r="EL769" s="93"/>
      <c r="EM769" s="93"/>
      <c r="EN769" s="93"/>
      <c r="EO769" s="93"/>
      <c r="EP769" s="93"/>
      <c r="EQ769" s="93"/>
      <c r="ER769" s="93"/>
      <c r="ES769" s="93"/>
      <c r="ET769" s="93"/>
      <c r="EU769" s="93"/>
      <c r="EV769" s="93"/>
      <c r="EW769" s="93"/>
      <c r="EX769" s="93"/>
      <c r="EY769" s="93"/>
      <c r="EZ769" s="93"/>
      <c r="FA769" s="93"/>
      <c r="FB769" s="93"/>
      <c r="FC769" s="93"/>
      <c r="FD769" s="93"/>
      <c r="FE769" s="93"/>
      <c r="FF769" s="93"/>
    </row>
    <row r="770" spans="1:162" ht="15.75" customHeight="1">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c r="CM770" s="93"/>
      <c r="CN770" s="93"/>
      <c r="CO770" s="93"/>
      <c r="CP770" s="93"/>
      <c r="CQ770" s="93"/>
      <c r="CR770" s="93"/>
      <c r="CS770" s="93"/>
      <c r="CT770" s="93"/>
      <c r="CU770" s="93"/>
      <c r="CV770" s="93"/>
      <c r="CW770" s="93"/>
      <c r="CX770" s="93"/>
      <c r="CY770" s="93"/>
      <c r="CZ770" s="93"/>
      <c r="DA770" s="93"/>
      <c r="DB770" s="93"/>
      <c r="DC770" s="93"/>
      <c r="DD770" s="93"/>
      <c r="DE770" s="93"/>
      <c r="DF770" s="93"/>
      <c r="DG770" s="93"/>
      <c r="DH770" s="93"/>
      <c r="DI770" s="93"/>
      <c r="DJ770" s="93"/>
      <c r="DK770" s="93"/>
      <c r="DL770" s="93"/>
      <c r="DM770" s="93"/>
      <c r="DN770" s="93"/>
      <c r="DO770" s="93"/>
      <c r="DP770" s="93"/>
      <c r="DQ770" s="93"/>
      <c r="DR770" s="93"/>
      <c r="DS770" s="93"/>
      <c r="DT770" s="93"/>
      <c r="DU770" s="93"/>
      <c r="DV770" s="93"/>
      <c r="DW770" s="93"/>
      <c r="DX770" s="93"/>
      <c r="DY770" s="93"/>
      <c r="DZ770" s="93"/>
      <c r="EA770" s="93"/>
      <c r="EB770" s="93"/>
      <c r="EC770" s="93"/>
      <c r="ED770" s="93"/>
      <c r="EE770" s="93"/>
      <c r="EF770" s="93"/>
      <c r="EG770" s="93"/>
      <c r="EH770" s="93"/>
      <c r="EI770" s="93"/>
      <c r="EJ770" s="93"/>
      <c r="EK770" s="93"/>
      <c r="EL770" s="93"/>
      <c r="EM770" s="93"/>
      <c r="EN770" s="93"/>
      <c r="EO770" s="93"/>
      <c r="EP770" s="93"/>
      <c r="EQ770" s="93"/>
      <c r="ER770" s="93"/>
      <c r="ES770" s="93"/>
      <c r="ET770" s="93"/>
      <c r="EU770" s="93"/>
      <c r="EV770" s="93"/>
      <c r="EW770" s="93"/>
      <c r="EX770" s="93"/>
      <c r="EY770" s="93"/>
      <c r="EZ770" s="93"/>
      <c r="FA770" s="93"/>
      <c r="FB770" s="93"/>
      <c r="FC770" s="93"/>
      <c r="FD770" s="93"/>
      <c r="FE770" s="93"/>
      <c r="FF770" s="93"/>
    </row>
    <row r="771" spans="1:162" ht="15.75" customHeight="1">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c r="CQ771" s="93"/>
      <c r="CR771" s="93"/>
      <c r="CS771" s="93"/>
      <c r="CT771" s="93"/>
      <c r="CU771" s="93"/>
      <c r="CV771" s="93"/>
      <c r="CW771" s="93"/>
      <c r="CX771" s="93"/>
      <c r="CY771" s="93"/>
      <c r="CZ771" s="93"/>
      <c r="DA771" s="93"/>
      <c r="DB771" s="93"/>
      <c r="DC771" s="93"/>
      <c r="DD771" s="93"/>
      <c r="DE771" s="93"/>
      <c r="DF771" s="93"/>
      <c r="DG771" s="93"/>
      <c r="DH771" s="93"/>
      <c r="DI771" s="93"/>
      <c r="DJ771" s="93"/>
      <c r="DK771" s="93"/>
      <c r="DL771" s="93"/>
      <c r="DM771" s="93"/>
      <c r="DN771" s="93"/>
      <c r="DO771" s="93"/>
      <c r="DP771" s="93"/>
      <c r="DQ771" s="93"/>
      <c r="DR771" s="93"/>
      <c r="DS771" s="93"/>
      <c r="DT771" s="93"/>
      <c r="DU771" s="93"/>
      <c r="DV771" s="93"/>
      <c r="DW771" s="93"/>
      <c r="DX771" s="93"/>
      <c r="DY771" s="93"/>
      <c r="DZ771" s="93"/>
      <c r="EA771" s="93"/>
      <c r="EB771" s="93"/>
      <c r="EC771" s="93"/>
      <c r="ED771" s="93"/>
      <c r="EE771" s="93"/>
      <c r="EF771" s="93"/>
      <c r="EG771" s="93"/>
      <c r="EH771" s="93"/>
      <c r="EI771" s="93"/>
      <c r="EJ771" s="93"/>
      <c r="EK771" s="93"/>
      <c r="EL771" s="93"/>
      <c r="EM771" s="93"/>
      <c r="EN771" s="93"/>
      <c r="EO771" s="93"/>
      <c r="EP771" s="93"/>
      <c r="EQ771" s="93"/>
      <c r="ER771" s="93"/>
      <c r="ES771" s="93"/>
      <c r="ET771" s="93"/>
      <c r="EU771" s="93"/>
      <c r="EV771" s="93"/>
      <c r="EW771" s="93"/>
      <c r="EX771" s="93"/>
      <c r="EY771" s="93"/>
      <c r="EZ771" s="93"/>
      <c r="FA771" s="93"/>
      <c r="FB771" s="93"/>
      <c r="FC771" s="93"/>
      <c r="FD771" s="93"/>
      <c r="FE771" s="93"/>
      <c r="FF771" s="93"/>
    </row>
    <row r="772" spans="1:162" ht="15.75" customHeight="1">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c r="CM772" s="93"/>
      <c r="CN772" s="93"/>
      <c r="CO772" s="93"/>
      <c r="CP772" s="93"/>
      <c r="CQ772" s="93"/>
      <c r="CR772" s="93"/>
      <c r="CS772" s="93"/>
      <c r="CT772" s="93"/>
      <c r="CU772" s="93"/>
      <c r="CV772" s="93"/>
      <c r="CW772" s="93"/>
      <c r="CX772" s="93"/>
      <c r="CY772" s="93"/>
      <c r="CZ772" s="93"/>
      <c r="DA772" s="93"/>
      <c r="DB772" s="93"/>
      <c r="DC772" s="93"/>
      <c r="DD772" s="93"/>
      <c r="DE772" s="93"/>
      <c r="DF772" s="93"/>
      <c r="DG772" s="93"/>
      <c r="DH772" s="93"/>
      <c r="DI772" s="93"/>
      <c r="DJ772" s="93"/>
      <c r="DK772" s="93"/>
      <c r="DL772" s="93"/>
      <c r="DM772" s="93"/>
      <c r="DN772" s="93"/>
      <c r="DO772" s="93"/>
      <c r="DP772" s="93"/>
      <c r="DQ772" s="93"/>
      <c r="DR772" s="93"/>
      <c r="DS772" s="93"/>
      <c r="DT772" s="93"/>
      <c r="DU772" s="93"/>
      <c r="DV772" s="93"/>
      <c r="DW772" s="93"/>
      <c r="DX772" s="93"/>
      <c r="DY772" s="93"/>
      <c r="DZ772" s="93"/>
      <c r="EA772" s="93"/>
      <c r="EB772" s="93"/>
      <c r="EC772" s="93"/>
      <c r="ED772" s="93"/>
      <c r="EE772" s="93"/>
      <c r="EF772" s="93"/>
      <c r="EG772" s="93"/>
      <c r="EH772" s="93"/>
      <c r="EI772" s="93"/>
      <c r="EJ772" s="93"/>
      <c r="EK772" s="93"/>
      <c r="EL772" s="93"/>
      <c r="EM772" s="93"/>
      <c r="EN772" s="93"/>
      <c r="EO772" s="93"/>
      <c r="EP772" s="93"/>
      <c r="EQ772" s="93"/>
      <c r="ER772" s="93"/>
      <c r="ES772" s="93"/>
      <c r="ET772" s="93"/>
      <c r="EU772" s="93"/>
      <c r="EV772" s="93"/>
      <c r="EW772" s="93"/>
      <c r="EX772" s="93"/>
      <c r="EY772" s="93"/>
      <c r="EZ772" s="93"/>
      <c r="FA772" s="93"/>
      <c r="FB772" s="93"/>
      <c r="FC772" s="93"/>
      <c r="FD772" s="93"/>
      <c r="FE772" s="93"/>
      <c r="FF772" s="93"/>
    </row>
    <row r="773" spans="1:162" ht="15.75" customHeight="1">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93"/>
      <c r="DV773" s="93"/>
      <c r="DW773" s="93"/>
      <c r="DX773" s="93"/>
      <c r="DY773" s="93"/>
      <c r="DZ773" s="93"/>
      <c r="EA773" s="93"/>
      <c r="EB773" s="93"/>
      <c r="EC773" s="93"/>
      <c r="ED773" s="93"/>
      <c r="EE773" s="93"/>
      <c r="EF773" s="93"/>
      <c r="EG773" s="93"/>
      <c r="EH773" s="93"/>
      <c r="EI773" s="93"/>
      <c r="EJ773" s="93"/>
      <c r="EK773" s="93"/>
      <c r="EL773" s="93"/>
      <c r="EM773" s="93"/>
      <c r="EN773" s="93"/>
      <c r="EO773" s="93"/>
      <c r="EP773" s="93"/>
      <c r="EQ773" s="93"/>
      <c r="ER773" s="93"/>
      <c r="ES773" s="93"/>
      <c r="ET773" s="93"/>
      <c r="EU773" s="93"/>
      <c r="EV773" s="93"/>
      <c r="EW773" s="93"/>
      <c r="EX773" s="93"/>
      <c r="EY773" s="93"/>
      <c r="EZ773" s="93"/>
      <c r="FA773" s="93"/>
      <c r="FB773" s="93"/>
      <c r="FC773" s="93"/>
      <c r="FD773" s="93"/>
      <c r="FE773" s="93"/>
      <c r="FF773" s="93"/>
    </row>
    <row r="774" spans="1:162" ht="15.75" customHeight="1">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c r="CM774" s="93"/>
      <c r="CN774" s="93"/>
      <c r="CO774" s="93"/>
      <c r="CP774" s="93"/>
      <c r="CQ774" s="93"/>
      <c r="CR774" s="93"/>
      <c r="CS774" s="93"/>
      <c r="CT774" s="93"/>
      <c r="CU774" s="93"/>
      <c r="CV774" s="93"/>
      <c r="CW774" s="93"/>
      <c r="CX774" s="93"/>
      <c r="CY774" s="93"/>
      <c r="CZ774" s="93"/>
      <c r="DA774" s="93"/>
      <c r="DB774" s="93"/>
      <c r="DC774" s="93"/>
      <c r="DD774" s="93"/>
      <c r="DE774" s="93"/>
      <c r="DF774" s="93"/>
      <c r="DG774" s="93"/>
      <c r="DH774" s="93"/>
      <c r="DI774" s="93"/>
      <c r="DJ774" s="93"/>
      <c r="DK774" s="93"/>
      <c r="DL774" s="93"/>
      <c r="DM774" s="93"/>
      <c r="DN774" s="93"/>
      <c r="DO774" s="93"/>
      <c r="DP774" s="93"/>
      <c r="DQ774" s="93"/>
      <c r="DR774" s="93"/>
      <c r="DS774" s="93"/>
      <c r="DT774" s="93"/>
      <c r="DU774" s="93"/>
      <c r="DV774" s="93"/>
      <c r="DW774" s="93"/>
      <c r="DX774" s="93"/>
      <c r="DY774" s="93"/>
      <c r="DZ774" s="93"/>
      <c r="EA774" s="93"/>
      <c r="EB774" s="93"/>
      <c r="EC774" s="93"/>
      <c r="ED774" s="93"/>
      <c r="EE774" s="93"/>
      <c r="EF774" s="93"/>
      <c r="EG774" s="93"/>
      <c r="EH774" s="93"/>
      <c r="EI774" s="93"/>
      <c r="EJ774" s="93"/>
      <c r="EK774" s="93"/>
      <c r="EL774" s="93"/>
      <c r="EM774" s="93"/>
      <c r="EN774" s="93"/>
      <c r="EO774" s="93"/>
      <c r="EP774" s="93"/>
      <c r="EQ774" s="93"/>
      <c r="ER774" s="93"/>
      <c r="ES774" s="93"/>
      <c r="ET774" s="93"/>
      <c r="EU774" s="93"/>
      <c r="EV774" s="93"/>
      <c r="EW774" s="93"/>
      <c r="EX774" s="93"/>
      <c r="EY774" s="93"/>
      <c r="EZ774" s="93"/>
      <c r="FA774" s="93"/>
      <c r="FB774" s="93"/>
      <c r="FC774" s="93"/>
      <c r="FD774" s="93"/>
      <c r="FE774" s="93"/>
      <c r="FF774" s="93"/>
    </row>
    <row r="775" spans="1:162" ht="15.75" customHeight="1">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c r="CM775" s="93"/>
      <c r="CN775" s="93"/>
      <c r="CO775" s="93"/>
      <c r="CP775" s="93"/>
      <c r="CQ775" s="93"/>
      <c r="CR775" s="93"/>
      <c r="CS775" s="93"/>
      <c r="CT775" s="93"/>
      <c r="CU775" s="93"/>
      <c r="CV775" s="93"/>
      <c r="CW775" s="93"/>
      <c r="CX775" s="93"/>
      <c r="CY775" s="93"/>
      <c r="CZ775" s="93"/>
      <c r="DA775" s="93"/>
      <c r="DB775" s="93"/>
      <c r="DC775" s="93"/>
      <c r="DD775" s="93"/>
      <c r="DE775" s="93"/>
      <c r="DF775" s="93"/>
      <c r="DG775" s="93"/>
      <c r="DH775" s="93"/>
      <c r="DI775" s="93"/>
      <c r="DJ775" s="93"/>
      <c r="DK775" s="93"/>
      <c r="DL775" s="93"/>
      <c r="DM775" s="93"/>
      <c r="DN775" s="93"/>
      <c r="DO775" s="93"/>
      <c r="DP775" s="93"/>
      <c r="DQ775" s="93"/>
      <c r="DR775" s="93"/>
      <c r="DS775" s="93"/>
      <c r="DT775" s="93"/>
      <c r="DU775" s="93"/>
      <c r="DV775" s="93"/>
      <c r="DW775" s="93"/>
      <c r="DX775" s="93"/>
      <c r="DY775" s="93"/>
      <c r="DZ775" s="93"/>
      <c r="EA775" s="93"/>
      <c r="EB775" s="93"/>
      <c r="EC775" s="93"/>
      <c r="ED775" s="93"/>
      <c r="EE775" s="93"/>
      <c r="EF775" s="93"/>
      <c r="EG775" s="93"/>
      <c r="EH775" s="93"/>
      <c r="EI775" s="93"/>
      <c r="EJ775" s="93"/>
      <c r="EK775" s="93"/>
      <c r="EL775" s="93"/>
      <c r="EM775" s="93"/>
      <c r="EN775" s="93"/>
      <c r="EO775" s="93"/>
      <c r="EP775" s="93"/>
      <c r="EQ775" s="93"/>
      <c r="ER775" s="93"/>
      <c r="ES775" s="93"/>
      <c r="ET775" s="93"/>
      <c r="EU775" s="93"/>
      <c r="EV775" s="93"/>
      <c r="EW775" s="93"/>
      <c r="EX775" s="93"/>
      <c r="EY775" s="93"/>
      <c r="EZ775" s="93"/>
      <c r="FA775" s="93"/>
      <c r="FB775" s="93"/>
      <c r="FC775" s="93"/>
      <c r="FD775" s="93"/>
      <c r="FE775" s="93"/>
      <c r="FF775" s="93"/>
    </row>
    <row r="776" spans="1:162" ht="15.75" customHeight="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c r="CW776" s="93"/>
      <c r="CX776" s="93"/>
      <c r="CY776" s="93"/>
      <c r="CZ776" s="93"/>
      <c r="DA776" s="93"/>
      <c r="DB776" s="93"/>
      <c r="DC776" s="93"/>
      <c r="DD776" s="93"/>
      <c r="DE776" s="93"/>
      <c r="DF776" s="93"/>
      <c r="DG776" s="93"/>
      <c r="DH776" s="93"/>
      <c r="DI776" s="93"/>
      <c r="DJ776" s="93"/>
      <c r="DK776" s="93"/>
      <c r="DL776" s="93"/>
      <c r="DM776" s="93"/>
      <c r="DN776" s="93"/>
      <c r="DO776" s="93"/>
      <c r="DP776" s="93"/>
      <c r="DQ776" s="93"/>
      <c r="DR776" s="93"/>
      <c r="DS776" s="93"/>
      <c r="DT776" s="93"/>
      <c r="DU776" s="93"/>
      <c r="DV776" s="93"/>
      <c r="DW776" s="93"/>
      <c r="DX776" s="93"/>
      <c r="DY776" s="93"/>
      <c r="DZ776" s="93"/>
      <c r="EA776" s="93"/>
      <c r="EB776" s="93"/>
      <c r="EC776" s="93"/>
      <c r="ED776" s="93"/>
      <c r="EE776" s="93"/>
      <c r="EF776" s="93"/>
      <c r="EG776" s="93"/>
      <c r="EH776" s="93"/>
      <c r="EI776" s="93"/>
      <c r="EJ776" s="93"/>
      <c r="EK776" s="93"/>
      <c r="EL776" s="93"/>
      <c r="EM776" s="93"/>
      <c r="EN776" s="93"/>
      <c r="EO776" s="93"/>
      <c r="EP776" s="93"/>
      <c r="EQ776" s="93"/>
      <c r="ER776" s="93"/>
      <c r="ES776" s="93"/>
      <c r="ET776" s="93"/>
      <c r="EU776" s="93"/>
      <c r="EV776" s="93"/>
      <c r="EW776" s="93"/>
      <c r="EX776" s="93"/>
      <c r="EY776" s="93"/>
      <c r="EZ776" s="93"/>
      <c r="FA776" s="93"/>
      <c r="FB776" s="93"/>
      <c r="FC776" s="93"/>
      <c r="FD776" s="93"/>
      <c r="FE776" s="93"/>
      <c r="FF776" s="93"/>
    </row>
    <row r="777" spans="1:162" ht="15.75" customHeight="1">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c r="CM777" s="93"/>
      <c r="CN777" s="93"/>
      <c r="CO777" s="93"/>
      <c r="CP777" s="93"/>
      <c r="CQ777" s="93"/>
      <c r="CR777" s="93"/>
      <c r="CS777" s="93"/>
      <c r="CT777" s="93"/>
      <c r="CU777" s="93"/>
      <c r="CV777" s="93"/>
      <c r="CW777" s="93"/>
      <c r="CX777" s="93"/>
      <c r="CY777" s="93"/>
      <c r="CZ777" s="93"/>
      <c r="DA777" s="93"/>
      <c r="DB777" s="93"/>
      <c r="DC777" s="93"/>
      <c r="DD777" s="93"/>
      <c r="DE777" s="93"/>
      <c r="DF777" s="93"/>
      <c r="DG777" s="93"/>
      <c r="DH777" s="93"/>
      <c r="DI777" s="93"/>
      <c r="DJ777" s="93"/>
      <c r="DK777" s="93"/>
      <c r="DL777" s="93"/>
      <c r="DM777" s="93"/>
      <c r="DN777" s="93"/>
      <c r="DO777" s="93"/>
      <c r="DP777" s="93"/>
      <c r="DQ777" s="93"/>
      <c r="DR777" s="93"/>
      <c r="DS777" s="93"/>
      <c r="DT777" s="93"/>
      <c r="DU777" s="93"/>
      <c r="DV777" s="93"/>
      <c r="DW777" s="93"/>
      <c r="DX777" s="93"/>
      <c r="DY777" s="93"/>
      <c r="DZ777" s="93"/>
      <c r="EA777" s="93"/>
      <c r="EB777" s="93"/>
      <c r="EC777" s="93"/>
      <c r="ED777" s="93"/>
      <c r="EE777" s="93"/>
      <c r="EF777" s="93"/>
      <c r="EG777" s="93"/>
      <c r="EH777" s="93"/>
      <c r="EI777" s="93"/>
      <c r="EJ777" s="93"/>
      <c r="EK777" s="93"/>
      <c r="EL777" s="93"/>
      <c r="EM777" s="93"/>
      <c r="EN777" s="93"/>
      <c r="EO777" s="93"/>
      <c r="EP777" s="93"/>
      <c r="EQ777" s="93"/>
      <c r="ER777" s="93"/>
      <c r="ES777" s="93"/>
      <c r="ET777" s="93"/>
      <c r="EU777" s="93"/>
      <c r="EV777" s="93"/>
      <c r="EW777" s="93"/>
      <c r="EX777" s="93"/>
      <c r="EY777" s="93"/>
      <c r="EZ777" s="93"/>
      <c r="FA777" s="93"/>
      <c r="FB777" s="93"/>
      <c r="FC777" s="93"/>
      <c r="FD777" s="93"/>
      <c r="FE777" s="93"/>
      <c r="FF777" s="93"/>
    </row>
    <row r="778" spans="1:162" ht="15.75" customHeight="1">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c r="CM778" s="93"/>
      <c r="CN778" s="93"/>
      <c r="CO778" s="93"/>
      <c r="CP778" s="93"/>
      <c r="CQ778" s="93"/>
      <c r="CR778" s="93"/>
      <c r="CS778" s="93"/>
      <c r="CT778" s="93"/>
      <c r="CU778" s="93"/>
      <c r="CV778" s="93"/>
      <c r="CW778" s="93"/>
      <c r="CX778" s="93"/>
      <c r="CY778" s="93"/>
      <c r="CZ778" s="93"/>
      <c r="DA778" s="93"/>
      <c r="DB778" s="93"/>
      <c r="DC778" s="93"/>
      <c r="DD778" s="93"/>
      <c r="DE778" s="93"/>
      <c r="DF778" s="93"/>
      <c r="DG778" s="93"/>
      <c r="DH778" s="93"/>
      <c r="DI778" s="93"/>
      <c r="DJ778" s="93"/>
      <c r="DK778" s="93"/>
      <c r="DL778" s="93"/>
      <c r="DM778" s="93"/>
      <c r="DN778" s="93"/>
      <c r="DO778" s="93"/>
      <c r="DP778" s="93"/>
      <c r="DQ778" s="93"/>
      <c r="DR778" s="93"/>
      <c r="DS778" s="93"/>
      <c r="DT778" s="93"/>
      <c r="DU778" s="93"/>
      <c r="DV778" s="93"/>
      <c r="DW778" s="93"/>
      <c r="DX778" s="93"/>
      <c r="DY778" s="93"/>
      <c r="DZ778" s="93"/>
      <c r="EA778" s="93"/>
      <c r="EB778" s="93"/>
      <c r="EC778" s="93"/>
      <c r="ED778" s="93"/>
      <c r="EE778" s="93"/>
      <c r="EF778" s="93"/>
      <c r="EG778" s="93"/>
      <c r="EH778" s="93"/>
      <c r="EI778" s="93"/>
      <c r="EJ778" s="93"/>
      <c r="EK778" s="93"/>
      <c r="EL778" s="93"/>
      <c r="EM778" s="93"/>
      <c r="EN778" s="93"/>
      <c r="EO778" s="93"/>
      <c r="EP778" s="93"/>
      <c r="EQ778" s="93"/>
      <c r="ER778" s="93"/>
      <c r="ES778" s="93"/>
      <c r="ET778" s="93"/>
      <c r="EU778" s="93"/>
      <c r="EV778" s="93"/>
      <c r="EW778" s="93"/>
      <c r="EX778" s="93"/>
      <c r="EY778" s="93"/>
      <c r="EZ778" s="93"/>
      <c r="FA778" s="93"/>
      <c r="FB778" s="93"/>
      <c r="FC778" s="93"/>
      <c r="FD778" s="93"/>
      <c r="FE778" s="93"/>
      <c r="FF778" s="93"/>
    </row>
    <row r="779" spans="1:162" ht="15.75" customHeight="1">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c r="CM779" s="93"/>
      <c r="CN779" s="93"/>
      <c r="CO779" s="93"/>
      <c r="CP779" s="93"/>
      <c r="CQ779" s="93"/>
      <c r="CR779" s="93"/>
      <c r="CS779" s="93"/>
      <c r="CT779" s="93"/>
      <c r="CU779" s="93"/>
      <c r="CV779" s="93"/>
      <c r="CW779" s="93"/>
      <c r="CX779" s="93"/>
      <c r="CY779" s="93"/>
      <c r="CZ779" s="93"/>
      <c r="DA779" s="93"/>
      <c r="DB779" s="93"/>
      <c r="DC779" s="93"/>
      <c r="DD779" s="93"/>
      <c r="DE779" s="93"/>
      <c r="DF779" s="93"/>
      <c r="DG779" s="93"/>
      <c r="DH779" s="93"/>
      <c r="DI779" s="93"/>
      <c r="DJ779" s="93"/>
      <c r="DK779" s="93"/>
      <c r="DL779" s="93"/>
      <c r="DM779" s="93"/>
      <c r="DN779" s="93"/>
      <c r="DO779" s="93"/>
      <c r="DP779" s="93"/>
      <c r="DQ779" s="93"/>
      <c r="DR779" s="93"/>
      <c r="DS779" s="93"/>
      <c r="DT779" s="93"/>
      <c r="DU779" s="93"/>
      <c r="DV779" s="93"/>
      <c r="DW779" s="93"/>
      <c r="DX779" s="93"/>
      <c r="DY779" s="93"/>
      <c r="DZ779" s="93"/>
      <c r="EA779" s="93"/>
      <c r="EB779" s="93"/>
      <c r="EC779" s="93"/>
      <c r="ED779" s="93"/>
      <c r="EE779" s="93"/>
      <c r="EF779" s="93"/>
      <c r="EG779" s="93"/>
      <c r="EH779" s="93"/>
      <c r="EI779" s="93"/>
      <c r="EJ779" s="93"/>
      <c r="EK779" s="93"/>
      <c r="EL779" s="93"/>
      <c r="EM779" s="93"/>
      <c r="EN779" s="93"/>
      <c r="EO779" s="93"/>
      <c r="EP779" s="93"/>
      <c r="EQ779" s="93"/>
      <c r="ER779" s="93"/>
      <c r="ES779" s="93"/>
      <c r="ET779" s="93"/>
      <c r="EU779" s="93"/>
      <c r="EV779" s="93"/>
      <c r="EW779" s="93"/>
      <c r="EX779" s="93"/>
      <c r="EY779" s="93"/>
      <c r="EZ779" s="93"/>
      <c r="FA779" s="93"/>
      <c r="FB779" s="93"/>
      <c r="FC779" s="93"/>
      <c r="FD779" s="93"/>
      <c r="FE779" s="93"/>
      <c r="FF779" s="93"/>
    </row>
    <row r="780" spans="1:162" ht="15.75" customHeight="1">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c r="CM780" s="93"/>
      <c r="CN780" s="93"/>
      <c r="CO780" s="93"/>
      <c r="CP780" s="93"/>
      <c r="CQ780" s="93"/>
      <c r="CR780" s="93"/>
      <c r="CS780" s="93"/>
      <c r="CT780" s="93"/>
      <c r="CU780" s="93"/>
      <c r="CV780" s="93"/>
      <c r="CW780" s="93"/>
      <c r="CX780" s="93"/>
      <c r="CY780" s="93"/>
      <c r="CZ780" s="93"/>
      <c r="DA780" s="93"/>
      <c r="DB780" s="93"/>
      <c r="DC780" s="93"/>
      <c r="DD780" s="93"/>
      <c r="DE780" s="93"/>
      <c r="DF780" s="93"/>
      <c r="DG780" s="93"/>
      <c r="DH780" s="93"/>
      <c r="DI780" s="93"/>
      <c r="DJ780" s="93"/>
      <c r="DK780" s="93"/>
      <c r="DL780" s="93"/>
      <c r="DM780" s="93"/>
      <c r="DN780" s="93"/>
      <c r="DO780" s="93"/>
      <c r="DP780" s="93"/>
      <c r="DQ780" s="93"/>
      <c r="DR780" s="93"/>
      <c r="DS780" s="93"/>
      <c r="DT780" s="93"/>
      <c r="DU780" s="93"/>
      <c r="DV780" s="93"/>
      <c r="DW780" s="93"/>
      <c r="DX780" s="93"/>
      <c r="DY780" s="93"/>
      <c r="DZ780" s="93"/>
      <c r="EA780" s="93"/>
      <c r="EB780" s="93"/>
      <c r="EC780" s="93"/>
      <c r="ED780" s="93"/>
      <c r="EE780" s="93"/>
      <c r="EF780" s="93"/>
      <c r="EG780" s="93"/>
      <c r="EH780" s="93"/>
      <c r="EI780" s="93"/>
      <c r="EJ780" s="93"/>
      <c r="EK780" s="93"/>
      <c r="EL780" s="93"/>
      <c r="EM780" s="93"/>
      <c r="EN780" s="93"/>
      <c r="EO780" s="93"/>
      <c r="EP780" s="93"/>
      <c r="EQ780" s="93"/>
      <c r="ER780" s="93"/>
      <c r="ES780" s="93"/>
      <c r="ET780" s="93"/>
      <c r="EU780" s="93"/>
      <c r="EV780" s="93"/>
      <c r="EW780" s="93"/>
      <c r="EX780" s="93"/>
      <c r="EY780" s="93"/>
      <c r="EZ780" s="93"/>
      <c r="FA780" s="93"/>
      <c r="FB780" s="93"/>
      <c r="FC780" s="93"/>
      <c r="FD780" s="93"/>
      <c r="FE780" s="93"/>
      <c r="FF780" s="93"/>
    </row>
    <row r="781" spans="1:162" ht="15.75" customHeight="1">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93"/>
      <c r="DV781" s="93"/>
      <c r="DW781" s="93"/>
      <c r="DX781" s="93"/>
      <c r="DY781" s="93"/>
      <c r="DZ781" s="93"/>
      <c r="EA781" s="93"/>
      <c r="EB781" s="93"/>
      <c r="EC781" s="93"/>
      <c r="ED781" s="93"/>
      <c r="EE781" s="93"/>
      <c r="EF781" s="93"/>
      <c r="EG781" s="93"/>
      <c r="EH781" s="93"/>
      <c r="EI781" s="93"/>
      <c r="EJ781" s="93"/>
      <c r="EK781" s="93"/>
      <c r="EL781" s="93"/>
      <c r="EM781" s="93"/>
      <c r="EN781" s="93"/>
      <c r="EO781" s="93"/>
      <c r="EP781" s="93"/>
      <c r="EQ781" s="93"/>
      <c r="ER781" s="93"/>
      <c r="ES781" s="93"/>
      <c r="ET781" s="93"/>
      <c r="EU781" s="93"/>
      <c r="EV781" s="93"/>
      <c r="EW781" s="93"/>
      <c r="EX781" s="93"/>
      <c r="EY781" s="93"/>
      <c r="EZ781" s="93"/>
      <c r="FA781" s="93"/>
      <c r="FB781" s="93"/>
      <c r="FC781" s="93"/>
      <c r="FD781" s="93"/>
      <c r="FE781" s="93"/>
      <c r="FF781" s="93"/>
    </row>
    <row r="782" spans="1:162" ht="15.75" customHeight="1">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c r="CM782" s="93"/>
      <c r="CN782" s="93"/>
      <c r="CO782" s="93"/>
      <c r="CP782" s="93"/>
      <c r="CQ782" s="93"/>
      <c r="CR782" s="93"/>
      <c r="CS782" s="93"/>
      <c r="CT782" s="93"/>
      <c r="CU782" s="93"/>
      <c r="CV782" s="93"/>
      <c r="CW782" s="93"/>
      <c r="CX782" s="93"/>
      <c r="CY782" s="93"/>
      <c r="CZ782" s="93"/>
      <c r="DA782" s="93"/>
      <c r="DB782" s="93"/>
      <c r="DC782" s="93"/>
      <c r="DD782" s="93"/>
      <c r="DE782" s="93"/>
      <c r="DF782" s="93"/>
      <c r="DG782" s="93"/>
      <c r="DH782" s="93"/>
      <c r="DI782" s="93"/>
      <c r="DJ782" s="93"/>
      <c r="DK782" s="93"/>
      <c r="DL782" s="93"/>
      <c r="DM782" s="93"/>
      <c r="DN782" s="93"/>
      <c r="DO782" s="93"/>
      <c r="DP782" s="93"/>
      <c r="DQ782" s="93"/>
      <c r="DR782" s="93"/>
      <c r="DS782" s="93"/>
      <c r="DT782" s="93"/>
      <c r="DU782" s="93"/>
      <c r="DV782" s="93"/>
      <c r="DW782" s="93"/>
      <c r="DX782" s="93"/>
      <c r="DY782" s="93"/>
      <c r="DZ782" s="93"/>
      <c r="EA782" s="93"/>
      <c r="EB782" s="93"/>
      <c r="EC782" s="93"/>
      <c r="ED782" s="93"/>
      <c r="EE782" s="93"/>
      <c r="EF782" s="93"/>
      <c r="EG782" s="93"/>
      <c r="EH782" s="93"/>
      <c r="EI782" s="93"/>
      <c r="EJ782" s="93"/>
      <c r="EK782" s="93"/>
      <c r="EL782" s="93"/>
      <c r="EM782" s="93"/>
      <c r="EN782" s="93"/>
      <c r="EO782" s="93"/>
      <c r="EP782" s="93"/>
      <c r="EQ782" s="93"/>
      <c r="ER782" s="93"/>
      <c r="ES782" s="93"/>
      <c r="ET782" s="93"/>
      <c r="EU782" s="93"/>
      <c r="EV782" s="93"/>
      <c r="EW782" s="93"/>
      <c r="EX782" s="93"/>
      <c r="EY782" s="93"/>
      <c r="EZ782" s="93"/>
      <c r="FA782" s="93"/>
      <c r="FB782" s="93"/>
      <c r="FC782" s="93"/>
      <c r="FD782" s="93"/>
      <c r="FE782" s="93"/>
      <c r="FF782" s="93"/>
    </row>
    <row r="783" spans="1:162" ht="15.75" customHeight="1">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row>
    <row r="784" spans="1:162" ht="15.75" customHeight="1">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c r="CM784" s="93"/>
      <c r="CN784" s="93"/>
      <c r="CO784" s="93"/>
      <c r="CP784" s="93"/>
      <c r="CQ784" s="93"/>
      <c r="CR784" s="93"/>
      <c r="CS784" s="93"/>
      <c r="CT784" s="93"/>
      <c r="CU784" s="93"/>
      <c r="CV784" s="93"/>
      <c r="CW784" s="93"/>
      <c r="CX784" s="93"/>
      <c r="CY784" s="93"/>
      <c r="CZ784" s="93"/>
      <c r="DA784" s="93"/>
      <c r="DB784" s="93"/>
      <c r="DC784" s="93"/>
      <c r="DD784" s="93"/>
      <c r="DE784" s="93"/>
      <c r="DF784" s="93"/>
      <c r="DG784" s="93"/>
      <c r="DH784" s="93"/>
      <c r="DI784" s="93"/>
      <c r="DJ784" s="93"/>
      <c r="DK784" s="93"/>
      <c r="DL784" s="93"/>
      <c r="DM784" s="93"/>
      <c r="DN784" s="93"/>
      <c r="DO784" s="93"/>
      <c r="DP784" s="93"/>
      <c r="DQ784" s="93"/>
      <c r="DR784" s="93"/>
      <c r="DS784" s="93"/>
      <c r="DT784" s="93"/>
      <c r="DU784" s="93"/>
      <c r="DV784" s="93"/>
      <c r="DW784" s="93"/>
      <c r="DX784" s="93"/>
      <c r="DY784" s="93"/>
      <c r="DZ784" s="93"/>
      <c r="EA784" s="93"/>
      <c r="EB784" s="93"/>
      <c r="EC784" s="93"/>
      <c r="ED784" s="93"/>
      <c r="EE784" s="93"/>
      <c r="EF784" s="93"/>
      <c r="EG784" s="93"/>
      <c r="EH784" s="93"/>
      <c r="EI784" s="93"/>
      <c r="EJ784" s="93"/>
      <c r="EK784" s="93"/>
      <c r="EL784" s="93"/>
      <c r="EM784" s="93"/>
      <c r="EN784" s="93"/>
      <c r="EO784" s="93"/>
      <c r="EP784" s="93"/>
      <c r="EQ784" s="93"/>
      <c r="ER784" s="93"/>
      <c r="ES784" s="93"/>
      <c r="ET784" s="93"/>
      <c r="EU784" s="93"/>
      <c r="EV784" s="93"/>
      <c r="EW784" s="93"/>
      <c r="EX784" s="93"/>
      <c r="EY784" s="93"/>
      <c r="EZ784" s="93"/>
      <c r="FA784" s="93"/>
      <c r="FB784" s="93"/>
      <c r="FC784" s="93"/>
      <c r="FD784" s="93"/>
      <c r="FE784" s="93"/>
      <c r="FF784" s="93"/>
    </row>
    <row r="785" spans="1:162" ht="15.75" customHeight="1">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c r="CM785" s="93"/>
      <c r="CN785" s="93"/>
      <c r="CO785" s="93"/>
      <c r="CP785" s="93"/>
      <c r="CQ785" s="93"/>
      <c r="CR785" s="93"/>
      <c r="CS785" s="93"/>
      <c r="CT785" s="93"/>
      <c r="CU785" s="93"/>
      <c r="CV785" s="93"/>
      <c r="CW785" s="93"/>
      <c r="CX785" s="93"/>
      <c r="CY785" s="93"/>
      <c r="CZ785" s="93"/>
      <c r="DA785" s="93"/>
      <c r="DB785" s="93"/>
      <c r="DC785" s="93"/>
      <c r="DD785" s="93"/>
      <c r="DE785" s="93"/>
      <c r="DF785" s="93"/>
      <c r="DG785" s="93"/>
      <c r="DH785" s="93"/>
      <c r="DI785" s="93"/>
      <c r="DJ785" s="93"/>
      <c r="DK785" s="93"/>
      <c r="DL785" s="93"/>
      <c r="DM785" s="93"/>
      <c r="DN785" s="93"/>
      <c r="DO785" s="93"/>
      <c r="DP785" s="93"/>
      <c r="DQ785" s="93"/>
      <c r="DR785" s="93"/>
      <c r="DS785" s="93"/>
      <c r="DT785" s="93"/>
      <c r="DU785" s="93"/>
      <c r="DV785" s="93"/>
      <c r="DW785" s="93"/>
      <c r="DX785" s="93"/>
      <c r="DY785" s="93"/>
      <c r="DZ785" s="93"/>
      <c r="EA785" s="93"/>
      <c r="EB785" s="93"/>
      <c r="EC785" s="93"/>
      <c r="ED785" s="93"/>
      <c r="EE785" s="93"/>
      <c r="EF785" s="93"/>
      <c r="EG785" s="93"/>
      <c r="EH785" s="93"/>
      <c r="EI785" s="93"/>
      <c r="EJ785" s="93"/>
      <c r="EK785" s="93"/>
      <c r="EL785" s="93"/>
      <c r="EM785" s="93"/>
      <c r="EN785" s="93"/>
      <c r="EO785" s="93"/>
      <c r="EP785" s="93"/>
      <c r="EQ785" s="93"/>
      <c r="ER785" s="93"/>
      <c r="ES785" s="93"/>
      <c r="ET785" s="93"/>
      <c r="EU785" s="93"/>
      <c r="EV785" s="93"/>
      <c r="EW785" s="93"/>
      <c r="EX785" s="93"/>
      <c r="EY785" s="93"/>
      <c r="EZ785" s="93"/>
      <c r="FA785" s="93"/>
      <c r="FB785" s="93"/>
      <c r="FC785" s="93"/>
      <c r="FD785" s="93"/>
      <c r="FE785" s="93"/>
      <c r="FF785" s="93"/>
    </row>
    <row r="786" spans="1:162" ht="15.75" customHeight="1">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c r="EQ786" s="93"/>
      <c r="ER786" s="93"/>
      <c r="ES786" s="93"/>
      <c r="ET786" s="93"/>
      <c r="EU786" s="93"/>
      <c r="EV786" s="93"/>
      <c r="EW786" s="93"/>
      <c r="EX786" s="93"/>
      <c r="EY786" s="93"/>
      <c r="EZ786" s="93"/>
      <c r="FA786" s="93"/>
      <c r="FB786" s="93"/>
      <c r="FC786" s="93"/>
      <c r="FD786" s="93"/>
      <c r="FE786" s="93"/>
      <c r="FF786" s="93"/>
    </row>
    <row r="787" spans="1:162" ht="15.75" customHeight="1">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c r="EQ787" s="93"/>
      <c r="ER787" s="93"/>
      <c r="ES787" s="93"/>
      <c r="ET787" s="93"/>
      <c r="EU787" s="93"/>
      <c r="EV787" s="93"/>
      <c r="EW787" s="93"/>
      <c r="EX787" s="93"/>
      <c r="EY787" s="93"/>
      <c r="EZ787" s="93"/>
      <c r="FA787" s="93"/>
      <c r="FB787" s="93"/>
      <c r="FC787" s="93"/>
      <c r="FD787" s="93"/>
      <c r="FE787" s="93"/>
      <c r="FF787" s="93"/>
    </row>
    <row r="788" spans="1:162" ht="15.75" customHeight="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c r="CM788" s="93"/>
      <c r="CN788" s="93"/>
      <c r="CO788" s="93"/>
      <c r="CP788" s="93"/>
      <c r="CQ788" s="93"/>
      <c r="CR788" s="93"/>
      <c r="CS788" s="93"/>
      <c r="CT788" s="93"/>
      <c r="CU788" s="93"/>
      <c r="CV788" s="93"/>
      <c r="CW788" s="93"/>
      <c r="CX788" s="93"/>
      <c r="CY788" s="93"/>
      <c r="CZ788" s="93"/>
      <c r="DA788" s="93"/>
      <c r="DB788" s="93"/>
      <c r="DC788" s="93"/>
      <c r="DD788" s="93"/>
      <c r="DE788" s="93"/>
      <c r="DF788" s="93"/>
      <c r="DG788" s="93"/>
      <c r="DH788" s="93"/>
      <c r="DI788" s="93"/>
      <c r="DJ788" s="93"/>
      <c r="DK788" s="93"/>
      <c r="DL788" s="93"/>
      <c r="DM788" s="93"/>
      <c r="DN788" s="93"/>
      <c r="DO788" s="93"/>
      <c r="DP788" s="93"/>
      <c r="DQ788" s="93"/>
      <c r="DR788" s="93"/>
      <c r="DS788" s="93"/>
      <c r="DT788" s="93"/>
      <c r="DU788" s="93"/>
      <c r="DV788" s="93"/>
      <c r="DW788" s="93"/>
      <c r="DX788" s="93"/>
      <c r="DY788" s="93"/>
      <c r="DZ788" s="93"/>
      <c r="EA788" s="93"/>
      <c r="EB788" s="93"/>
      <c r="EC788" s="93"/>
      <c r="ED788" s="93"/>
      <c r="EE788" s="93"/>
      <c r="EF788" s="93"/>
      <c r="EG788" s="93"/>
      <c r="EH788" s="93"/>
      <c r="EI788" s="93"/>
      <c r="EJ788" s="93"/>
      <c r="EK788" s="93"/>
      <c r="EL788" s="93"/>
      <c r="EM788" s="93"/>
      <c r="EN788" s="93"/>
      <c r="EO788" s="93"/>
      <c r="EP788" s="93"/>
      <c r="EQ788" s="93"/>
      <c r="ER788" s="93"/>
      <c r="ES788" s="93"/>
      <c r="ET788" s="93"/>
      <c r="EU788" s="93"/>
      <c r="EV788" s="93"/>
      <c r="EW788" s="93"/>
      <c r="EX788" s="93"/>
      <c r="EY788" s="93"/>
      <c r="EZ788" s="93"/>
      <c r="FA788" s="93"/>
      <c r="FB788" s="93"/>
      <c r="FC788" s="93"/>
      <c r="FD788" s="93"/>
      <c r="FE788" s="93"/>
      <c r="FF788" s="93"/>
    </row>
    <row r="789" spans="1:162" ht="15.75" customHeight="1">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c r="CM789" s="93"/>
      <c r="CN789" s="93"/>
      <c r="CO789" s="93"/>
      <c r="CP789" s="93"/>
      <c r="CQ789" s="93"/>
      <c r="CR789" s="93"/>
      <c r="CS789" s="93"/>
      <c r="CT789" s="93"/>
      <c r="CU789" s="93"/>
      <c r="CV789" s="93"/>
      <c r="CW789" s="93"/>
      <c r="CX789" s="93"/>
      <c r="CY789" s="93"/>
      <c r="CZ789" s="93"/>
      <c r="DA789" s="93"/>
      <c r="DB789" s="93"/>
      <c r="DC789" s="93"/>
      <c r="DD789" s="93"/>
      <c r="DE789" s="93"/>
      <c r="DF789" s="93"/>
      <c r="DG789" s="93"/>
      <c r="DH789" s="93"/>
      <c r="DI789" s="93"/>
      <c r="DJ789" s="93"/>
      <c r="DK789" s="93"/>
      <c r="DL789" s="93"/>
      <c r="DM789" s="93"/>
      <c r="DN789" s="93"/>
      <c r="DO789" s="93"/>
      <c r="DP789" s="93"/>
      <c r="DQ789" s="93"/>
      <c r="DR789" s="93"/>
      <c r="DS789" s="93"/>
      <c r="DT789" s="93"/>
      <c r="DU789" s="93"/>
      <c r="DV789" s="93"/>
      <c r="DW789" s="93"/>
      <c r="DX789" s="93"/>
      <c r="DY789" s="93"/>
      <c r="DZ789" s="93"/>
      <c r="EA789" s="93"/>
      <c r="EB789" s="93"/>
      <c r="EC789" s="93"/>
      <c r="ED789" s="93"/>
      <c r="EE789" s="93"/>
      <c r="EF789" s="93"/>
      <c r="EG789" s="93"/>
      <c r="EH789" s="93"/>
      <c r="EI789" s="93"/>
      <c r="EJ789" s="93"/>
      <c r="EK789" s="93"/>
      <c r="EL789" s="93"/>
      <c r="EM789" s="93"/>
      <c r="EN789" s="93"/>
      <c r="EO789" s="93"/>
      <c r="EP789" s="93"/>
      <c r="EQ789" s="93"/>
      <c r="ER789" s="93"/>
      <c r="ES789" s="93"/>
      <c r="ET789" s="93"/>
      <c r="EU789" s="93"/>
      <c r="EV789" s="93"/>
      <c r="EW789" s="93"/>
      <c r="EX789" s="93"/>
      <c r="EY789" s="93"/>
      <c r="EZ789" s="93"/>
      <c r="FA789" s="93"/>
      <c r="FB789" s="93"/>
      <c r="FC789" s="93"/>
      <c r="FD789" s="93"/>
      <c r="FE789" s="93"/>
      <c r="FF789" s="93"/>
    </row>
    <row r="790" spans="1:162" ht="15.75" customHeight="1">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c r="CM790" s="93"/>
      <c r="CN790" s="93"/>
      <c r="CO790" s="93"/>
      <c r="CP790" s="93"/>
      <c r="CQ790" s="93"/>
      <c r="CR790" s="93"/>
      <c r="CS790" s="93"/>
      <c r="CT790" s="93"/>
      <c r="CU790" s="93"/>
      <c r="CV790" s="93"/>
      <c r="CW790" s="93"/>
      <c r="CX790" s="93"/>
      <c r="CY790" s="93"/>
      <c r="CZ790" s="93"/>
      <c r="DA790" s="93"/>
      <c r="DB790" s="93"/>
      <c r="DC790" s="93"/>
      <c r="DD790" s="93"/>
      <c r="DE790" s="93"/>
      <c r="DF790" s="93"/>
      <c r="DG790" s="93"/>
      <c r="DH790" s="93"/>
      <c r="DI790" s="93"/>
      <c r="DJ790" s="93"/>
      <c r="DK790" s="93"/>
      <c r="DL790" s="93"/>
      <c r="DM790" s="93"/>
      <c r="DN790" s="93"/>
      <c r="DO790" s="93"/>
      <c r="DP790" s="93"/>
      <c r="DQ790" s="93"/>
      <c r="DR790" s="93"/>
      <c r="DS790" s="93"/>
      <c r="DT790" s="93"/>
      <c r="DU790" s="93"/>
      <c r="DV790" s="93"/>
      <c r="DW790" s="93"/>
      <c r="DX790" s="93"/>
      <c r="DY790" s="93"/>
      <c r="DZ790" s="93"/>
      <c r="EA790" s="93"/>
      <c r="EB790" s="93"/>
      <c r="EC790" s="93"/>
      <c r="ED790" s="93"/>
      <c r="EE790" s="93"/>
      <c r="EF790" s="93"/>
      <c r="EG790" s="93"/>
      <c r="EH790" s="93"/>
      <c r="EI790" s="93"/>
      <c r="EJ790" s="93"/>
      <c r="EK790" s="93"/>
      <c r="EL790" s="93"/>
      <c r="EM790" s="93"/>
      <c r="EN790" s="93"/>
      <c r="EO790" s="93"/>
      <c r="EP790" s="93"/>
      <c r="EQ790" s="93"/>
      <c r="ER790" s="93"/>
      <c r="ES790" s="93"/>
      <c r="ET790" s="93"/>
      <c r="EU790" s="93"/>
      <c r="EV790" s="93"/>
      <c r="EW790" s="93"/>
      <c r="EX790" s="93"/>
      <c r="EY790" s="93"/>
      <c r="EZ790" s="93"/>
      <c r="FA790" s="93"/>
      <c r="FB790" s="93"/>
      <c r="FC790" s="93"/>
      <c r="FD790" s="93"/>
      <c r="FE790" s="93"/>
      <c r="FF790" s="93"/>
    </row>
    <row r="791" spans="1:162" ht="15.75" customHeight="1">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c r="CM791" s="93"/>
      <c r="CN791" s="93"/>
      <c r="CO791" s="93"/>
      <c r="CP791" s="93"/>
      <c r="CQ791" s="93"/>
      <c r="CR791" s="93"/>
      <c r="CS791" s="93"/>
      <c r="CT791" s="93"/>
      <c r="CU791" s="93"/>
      <c r="CV791" s="93"/>
      <c r="CW791" s="93"/>
      <c r="CX791" s="93"/>
      <c r="CY791" s="93"/>
      <c r="CZ791" s="93"/>
      <c r="DA791" s="93"/>
      <c r="DB791" s="93"/>
      <c r="DC791" s="93"/>
      <c r="DD791" s="93"/>
      <c r="DE791" s="93"/>
      <c r="DF791" s="93"/>
      <c r="DG791" s="93"/>
      <c r="DH791" s="93"/>
      <c r="DI791" s="93"/>
      <c r="DJ791" s="93"/>
      <c r="DK791" s="93"/>
      <c r="DL791" s="93"/>
      <c r="DM791" s="93"/>
      <c r="DN791" s="93"/>
      <c r="DO791" s="93"/>
      <c r="DP791" s="93"/>
      <c r="DQ791" s="93"/>
      <c r="DR791" s="93"/>
      <c r="DS791" s="93"/>
      <c r="DT791" s="93"/>
      <c r="DU791" s="93"/>
      <c r="DV791" s="93"/>
      <c r="DW791" s="93"/>
      <c r="DX791" s="93"/>
      <c r="DY791" s="93"/>
      <c r="DZ791" s="93"/>
      <c r="EA791" s="93"/>
      <c r="EB791" s="93"/>
      <c r="EC791" s="93"/>
      <c r="ED791" s="93"/>
      <c r="EE791" s="93"/>
      <c r="EF791" s="93"/>
      <c r="EG791" s="93"/>
      <c r="EH791" s="93"/>
      <c r="EI791" s="93"/>
      <c r="EJ791" s="93"/>
      <c r="EK791" s="93"/>
      <c r="EL791" s="93"/>
      <c r="EM791" s="93"/>
      <c r="EN791" s="93"/>
      <c r="EO791" s="93"/>
      <c r="EP791" s="93"/>
      <c r="EQ791" s="93"/>
      <c r="ER791" s="93"/>
      <c r="ES791" s="93"/>
      <c r="ET791" s="93"/>
      <c r="EU791" s="93"/>
      <c r="EV791" s="93"/>
      <c r="EW791" s="93"/>
      <c r="EX791" s="93"/>
      <c r="EY791" s="93"/>
      <c r="EZ791" s="93"/>
      <c r="FA791" s="93"/>
      <c r="FB791" s="93"/>
      <c r="FC791" s="93"/>
      <c r="FD791" s="93"/>
      <c r="FE791" s="93"/>
      <c r="FF791" s="93"/>
    </row>
    <row r="792" spans="1:162" ht="15.75" customHeight="1">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c r="CM792" s="93"/>
      <c r="CN792" s="93"/>
      <c r="CO792" s="93"/>
      <c r="CP792" s="93"/>
      <c r="CQ792" s="93"/>
      <c r="CR792" s="93"/>
      <c r="CS792" s="93"/>
      <c r="CT792" s="93"/>
      <c r="CU792" s="93"/>
      <c r="CV792" s="93"/>
      <c r="CW792" s="93"/>
      <c r="CX792" s="93"/>
      <c r="CY792" s="93"/>
      <c r="CZ792" s="93"/>
      <c r="DA792" s="93"/>
      <c r="DB792" s="93"/>
      <c r="DC792" s="93"/>
      <c r="DD792" s="93"/>
      <c r="DE792" s="93"/>
      <c r="DF792" s="93"/>
      <c r="DG792" s="93"/>
      <c r="DH792" s="93"/>
      <c r="DI792" s="93"/>
      <c r="DJ792" s="93"/>
      <c r="DK792" s="93"/>
      <c r="DL792" s="93"/>
      <c r="DM792" s="93"/>
      <c r="DN792" s="93"/>
      <c r="DO792" s="93"/>
      <c r="DP792" s="93"/>
      <c r="DQ792" s="93"/>
      <c r="DR792" s="93"/>
      <c r="DS792" s="93"/>
      <c r="DT792" s="93"/>
      <c r="DU792" s="93"/>
      <c r="DV792" s="93"/>
      <c r="DW792" s="93"/>
      <c r="DX792" s="93"/>
      <c r="DY792" s="93"/>
      <c r="DZ792" s="93"/>
      <c r="EA792" s="93"/>
      <c r="EB792" s="93"/>
      <c r="EC792" s="93"/>
      <c r="ED792" s="93"/>
      <c r="EE792" s="93"/>
      <c r="EF792" s="93"/>
      <c r="EG792" s="93"/>
      <c r="EH792" s="93"/>
      <c r="EI792" s="93"/>
      <c r="EJ792" s="93"/>
      <c r="EK792" s="93"/>
      <c r="EL792" s="93"/>
      <c r="EM792" s="93"/>
      <c r="EN792" s="93"/>
      <c r="EO792" s="93"/>
      <c r="EP792" s="93"/>
      <c r="EQ792" s="93"/>
      <c r="ER792" s="93"/>
      <c r="ES792" s="93"/>
      <c r="ET792" s="93"/>
      <c r="EU792" s="93"/>
      <c r="EV792" s="93"/>
      <c r="EW792" s="93"/>
      <c r="EX792" s="93"/>
      <c r="EY792" s="93"/>
      <c r="EZ792" s="93"/>
      <c r="FA792" s="93"/>
      <c r="FB792" s="93"/>
      <c r="FC792" s="93"/>
      <c r="FD792" s="93"/>
      <c r="FE792" s="93"/>
      <c r="FF792" s="93"/>
    </row>
    <row r="793" spans="1:162" ht="15.75" customHeight="1">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93"/>
      <c r="DV793" s="93"/>
      <c r="DW793" s="93"/>
      <c r="DX793" s="93"/>
      <c r="DY793" s="93"/>
      <c r="DZ793" s="93"/>
      <c r="EA793" s="93"/>
      <c r="EB793" s="93"/>
      <c r="EC793" s="93"/>
      <c r="ED793" s="93"/>
      <c r="EE793" s="93"/>
      <c r="EF793" s="93"/>
      <c r="EG793" s="93"/>
      <c r="EH793" s="93"/>
      <c r="EI793" s="93"/>
      <c r="EJ793" s="93"/>
      <c r="EK793" s="93"/>
      <c r="EL793" s="93"/>
      <c r="EM793" s="93"/>
      <c r="EN793" s="93"/>
      <c r="EO793" s="93"/>
      <c r="EP793" s="93"/>
      <c r="EQ793" s="93"/>
      <c r="ER793" s="93"/>
      <c r="ES793" s="93"/>
      <c r="ET793" s="93"/>
      <c r="EU793" s="93"/>
      <c r="EV793" s="93"/>
      <c r="EW793" s="93"/>
      <c r="EX793" s="93"/>
      <c r="EY793" s="93"/>
      <c r="EZ793" s="93"/>
      <c r="FA793" s="93"/>
      <c r="FB793" s="93"/>
      <c r="FC793" s="93"/>
      <c r="FD793" s="93"/>
      <c r="FE793" s="93"/>
      <c r="FF793" s="93"/>
    </row>
    <row r="794" spans="1:162" ht="15.75" customHeight="1">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c r="CM794" s="93"/>
      <c r="CN794" s="93"/>
      <c r="CO794" s="93"/>
      <c r="CP794" s="93"/>
      <c r="CQ794" s="93"/>
      <c r="CR794" s="93"/>
      <c r="CS794" s="93"/>
      <c r="CT794" s="93"/>
      <c r="CU794" s="93"/>
      <c r="CV794" s="93"/>
      <c r="CW794" s="93"/>
      <c r="CX794" s="93"/>
      <c r="CY794" s="93"/>
      <c r="CZ794" s="93"/>
      <c r="DA794" s="93"/>
      <c r="DB794" s="93"/>
      <c r="DC794" s="93"/>
      <c r="DD794" s="93"/>
      <c r="DE794" s="93"/>
      <c r="DF794" s="93"/>
      <c r="DG794" s="93"/>
      <c r="DH794" s="93"/>
      <c r="DI794" s="93"/>
      <c r="DJ794" s="93"/>
      <c r="DK794" s="93"/>
      <c r="DL794" s="93"/>
      <c r="DM794" s="93"/>
      <c r="DN794" s="93"/>
      <c r="DO794" s="93"/>
      <c r="DP794" s="93"/>
      <c r="DQ794" s="93"/>
      <c r="DR794" s="93"/>
      <c r="DS794" s="93"/>
      <c r="DT794" s="93"/>
      <c r="DU794" s="93"/>
      <c r="DV794" s="93"/>
      <c r="DW794" s="93"/>
      <c r="DX794" s="93"/>
      <c r="DY794" s="93"/>
      <c r="DZ794" s="93"/>
      <c r="EA794" s="93"/>
      <c r="EB794" s="93"/>
      <c r="EC794" s="93"/>
      <c r="ED794" s="93"/>
      <c r="EE794" s="93"/>
      <c r="EF794" s="93"/>
      <c r="EG794" s="93"/>
      <c r="EH794" s="93"/>
      <c r="EI794" s="93"/>
      <c r="EJ794" s="93"/>
      <c r="EK794" s="93"/>
      <c r="EL794" s="93"/>
      <c r="EM794" s="93"/>
      <c r="EN794" s="93"/>
      <c r="EO794" s="93"/>
      <c r="EP794" s="93"/>
      <c r="EQ794" s="93"/>
      <c r="ER794" s="93"/>
      <c r="ES794" s="93"/>
      <c r="ET794" s="93"/>
      <c r="EU794" s="93"/>
      <c r="EV794" s="93"/>
      <c r="EW794" s="93"/>
      <c r="EX794" s="93"/>
      <c r="EY794" s="93"/>
      <c r="EZ794" s="93"/>
      <c r="FA794" s="93"/>
      <c r="FB794" s="93"/>
      <c r="FC794" s="93"/>
      <c r="FD794" s="93"/>
      <c r="FE794" s="93"/>
      <c r="FF794" s="93"/>
    </row>
    <row r="795" spans="1:162" ht="15.75" customHeight="1">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c r="CQ795" s="93"/>
      <c r="CR795" s="93"/>
      <c r="CS795" s="93"/>
      <c r="CT795" s="93"/>
      <c r="CU795" s="93"/>
      <c r="CV795" s="93"/>
      <c r="CW795" s="93"/>
      <c r="CX795" s="93"/>
      <c r="CY795" s="93"/>
      <c r="CZ795" s="93"/>
      <c r="DA795" s="93"/>
      <c r="DB795" s="93"/>
      <c r="DC795" s="93"/>
      <c r="DD795" s="93"/>
      <c r="DE795" s="93"/>
      <c r="DF795" s="93"/>
      <c r="DG795" s="93"/>
      <c r="DH795" s="93"/>
      <c r="DI795" s="93"/>
      <c r="DJ795" s="93"/>
      <c r="DK795" s="93"/>
      <c r="DL795" s="93"/>
      <c r="DM795" s="93"/>
      <c r="DN795" s="93"/>
      <c r="DO795" s="93"/>
      <c r="DP795" s="93"/>
      <c r="DQ795" s="93"/>
      <c r="DR795" s="93"/>
      <c r="DS795" s="93"/>
      <c r="DT795" s="93"/>
      <c r="DU795" s="93"/>
      <c r="DV795" s="93"/>
      <c r="DW795" s="93"/>
      <c r="DX795" s="93"/>
      <c r="DY795" s="93"/>
      <c r="DZ795" s="93"/>
      <c r="EA795" s="93"/>
      <c r="EB795" s="93"/>
      <c r="EC795" s="93"/>
      <c r="ED795" s="93"/>
      <c r="EE795" s="93"/>
      <c r="EF795" s="93"/>
      <c r="EG795" s="93"/>
      <c r="EH795" s="93"/>
      <c r="EI795" s="93"/>
      <c r="EJ795" s="93"/>
      <c r="EK795" s="93"/>
      <c r="EL795" s="93"/>
      <c r="EM795" s="93"/>
      <c r="EN795" s="93"/>
      <c r="EO795" s="93"/>
      <c r="EP795" s="93"/>
      <c r="EQ795" s="93"/>
      <c r="ER795" s="93"/>
      <c r="ES795" s="93"/>
      <c r="ET795" s="93"/>
      <c r="EU795" s="93"/>
      <c r="EV795" s="93"/>
      <c r="EW795" s="93"/>
      <c r="EX795" s="93"/>
      <c r="EY795" s="93"/>
      <c r="EZ795" s="93"/>
      <c r="FA795" s="93"/>
      <c r="FB795" s="93"/>
      <c r="FC795" s="93"/>
      <c r="FD795" s="93"/>
      <c r="FE795" s="93"/>
      <c r="FF795" s="93"/>
    </row>
    <row r="796" spans="1:162" ht="15.75" customHeight="1">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c r="CQ796" s="93"/>
      <c r="CR796" s="93"/>
      <c r="CS796" s="93"/>
      <c r="CT796" s="93"/>
      <c r="CU796" s="93"/>
      <c r="CV796" s="93"/>
      <c r="CW796" s="93"/>
      <c r="CX796" s="93"/>
      <c r="CY796" s="93"/>
      <c r="CZ796" s="93"/>
      <c r="DA796" s="93"/>
      <c r="DB796" s="93"/>
      <c r="DC796" s="93"/>
      <c r="DD796" s="93"/>
      <c r="DE796" s="93"/>
      <c r="DF796" s="93"/>
      <c r="DG796" s="93"/>
      <c r="DH796" s="93"/>
      <c r="DI796" s="93"/>
      <c r="DJ796" s="93"/>
      <c r="DK796" s="93"/>
      <c r="DL796" s="93"/>
      <c r="DM796" s="93"/>
      <c r="DN796" s="93"/>
      <c r="DO796" s="93"/>
      <c r="DP796" s="93"/>
      <c r="DQ796" s="93"/>
      <c r="DR796" s="93"/>
      <c r="DS796" s="93"/>
      <c r="DT796" s="93"/>
      <c r="DU796" s="93"/>
      <c r="DV796" s="93"/>
      <c r="DW796" s="93"/>
      <c r="DX796" s="93"/>
      <c r="DY796" s="93"/>
      <c r="DZ796" s="93"/>
      <c r="EA796" s="93"/>
      <c r="EB796" s="93"/>
      <c r="EC796" s="93"/>
      <c r="ED796" s="93"/>
      <c r="EE796" s="93"/>
      <c r="EF796" s="93"/>
      <c r="EG796" s="93"/>
      <c r="EH796" s="93"/>
      <c r="EI796" s="93"/>
      <c r="EJ796" s="93"/>
      <c r="EK796" s="93"/>
      <c r="EL796" s="93"/>
      <c r="EM796" s="93"/>
      <c r="EN796" s="93"/>
      <c r="EO796" s="93"/>
      <c r="EP796" s="93"/>
      <c r="EQ796" s="93"/>
      <c r="ER796" s="93"/>
      <c r="ES796" s="93"/>
      <c r="ET796" s="93"/>
      <c r="EU796" s="93"/>
      <c r="EV796" s="93"/>
      <c r="EW796" s="93"/>
      <c r="EX796" s="93"/>
      <c r="EY796" s="93"/>
      <c r="EZ796" s="93"/>
      <c r="FA796" s="93"/>
      <c r="FB796" s="93"/>
      <c r="FC796" s="93"/>
      <c r="FD796" s="93"/>
      <c r="FE796" s="93"/>
      <c r="FF796" s="93"/>
    </row>
    <row r="797" spans="1:162" ht="15.75" customHeight="1">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c r="CQ797" s="93"/>
      <c r="CR797" s="93"/>
      <c r="CS797" s="93"/>
      <c r="CT797" s="93"/>
      <c r="CU797" s="93"/>
      <c r="CV797" s="93"/>
      <c r="CW797" s="93"/>
      <c r="CX797" s="93"/>
      <c r="CY797" s="93"/>
      <c r="CZ797" s="93"/>
      <c r="DA797" s="93"/>
      <c r="DB797" s="93"/>
      <c r="DC797" s="93"/>
      <c r="DD797" s="93"/>
      <c r="DE797" s="93"/>
      <c r="DF797" s="93"/>
      <c r="DG797" s="93"/>
      <c r="DH797" s="93"/>
      <c r="DI797" s="93"/>
      <c r="DJ797" s="93"/>
      <c r="DK797" s="93"/>
      <c r="DL797" s="93"/>
      <c r="DM797" s="93"/>
      <c r="DN797" s="93"/>
      <c r="DO797" s="93"/>
      <c r="DP797" s="93"/>
      <c r="DQ797" s="93"/>
      <c r="DR797" s="93"/>
      <c r="DS797" s="93"/>
      <c r="DT797" s="93"/>
      <c r="DU797" s="93"/>
      <c r="DV797" s="93"/>
      <c r="DW797" s="93"/>
      <c r="DX797" s="93"/>
      <c r="DY797" s="93"/>
      <c r="DZ797" s="93"/>
      <c r="EA797" s="93"/>
      <c r="EB797" s="93"/>
      <c r="EC797" s="93"/>
      <c r="ED797" s="93"/>
      <c r="EE797" s="93"/>
      <c r="EF797" s="93"/>
      <c r="EG797" s="93"/>
      <c r="EH797" s="93"/>
      <c r="EI797" s="93"/>
      <c r="EJ797" s="93"/>
      <c r="EK797" s="93"/>
      <c r="EL797" s="93"/>
      <c r="EM797" s="93"/>
      <c r="EN797" s="93"/>
      <c r="EO797" s="93"/>
      <c r="EP797" s="93"/>
      <c r="EQ797" s="93"/>
      <c r="ER797" s="93"/>
      <c r="ES797" s="93"/>
      <c r="ET797" s="93"/>
      <c r="EU797" s="93"/>
      <c r="EV797" s="93"/>
      <c r="EW797" s="93"/>
      <c r="EX797" s="93"/>
      <c r="EY797" s="93"/>
      <c r="EZ797" s="93"/>
      <c r="FA797" s="93"/>
      <c r="FB797" s="93"/>
      <c r="FC797" s="93"/>
      <c r="FD797" s="93"/>
      <c r="FE797" s="93"/>
      <c r="FF797" s="93"/>
    </row>
    <row r="798" spans="1:162" ht="15.75" customHeight="1">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c r="CM798" s="93"/>
      <c r="CN798" s="93"/>
      <c r="CO798" s="93"/>
      <c r="CP798" s="93"/>
      <c r="CQ798" s="93"/>
      <c r="CR798" s="93"/>
      <c r="CS798" s="93"/>
      <c r="CT798" s="93"/>
      <c r="CU798" s="93"/>
      <c r="CV798" s="93"/>
      <c r="CW798" s="93"/>
      <c r="CX798" s="93"/>
      <c r="CY798" s="93"/>
      <c r="CZ798" s="93"/>
      <c r="DA798" s="93"/>
      <c r="DB798" s="93"/>
      <c r="DC798" s="93"/>
      <c r="DD798" s="93"/>
      <c r="DE798" s="93"/>
      <c r="DF798" s="93"/>
      <c r="DG798" s="93"/>
      <c r="DH798" s="93"/>
      <c r="DI798" s="93"/>
      <c r="DJ798" s="93"/>
      <c r="DK798" s="93"/>
      <c r="DL798" s="93"/>
      <c r="DM798" s="93"/>
      <c r="DN798" s="93"/>
      <c r="DO798" s="93"/>
      <c r="DP798" s="93"/>
      <c r="DQ798" s="93"/>
      <c r="DR798" s="93"/>
      <c r="DS798" s="93"/>
      <c r="DT798" s="93"/>
      <c r="DU798" s="93"/>
      <c r="DV798" s="93"/>
      <c r="DW798" s="93"/>
      <c r="DX798" s="93"/>
      <c r="DY798" s="93"/>
      <c r="DZ798" s="93"/>
      <c r="EA798" s="93"/>
      <c r="EB798" s="93"/>
      <c r="EC798" s="93"/>
      <c r="ED798" s="93"/>
      <c r="EE798" s="93"/>
      <c r="EF798" s="93"/>
      <c r="EG798" s="93"/>
      <c r="EH798" s="93"/>
      <c r="EI798" s="93"/>
      <c r="EJ798" s="93"/>
      <c r="EK798" s="93"/>
      <c r="EL798" s="93"/>
      <c r="EM798" s="93"/>
      <c r="EN798" s="93"/>
      <c r="EO798" s="93"/>
      <c r="EP798" s="93"/>
      <c r="EQ798" s="93"/>
      <c r="ER798" s="93"/>
      <c r="ES798" s="93"/>
      <c r="ET798" s="93"/>
      <c r="EU798" s="93"/>
      <c r="EV798" s="93"/>
      <c r="EW798" s="93"/>
      <c r="EX798" s="93"/>
      <c r="EY798" s="93"/>
      <c r="EZ798" s="93"/>
      <c r="FA798" s="93"/>
      <c r="FB798" s="93"/>
      <c r="FC798" s="93"/>
      <c r="FD798" s="93"/>
      <c r="FE798" s="93"/>
      <c r="FF798" s="93"/>
    </row>
    <row r="799" spans="1:162" ht="15.75" customHeight="1">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c r="CQ799" s="93"/>
      <c r="CR799" s="93"/>
      <c r="CS799" s="93"/>
      <c r="CT799" s="93"/>
      <c r="CU799" s="93"/>
      <c r="CV799" s="93"/>
      <c r="CW799" s="93"/>
      <c r="CX799" s="93"/>
      <c r="CY799" s="93"/>
      <c r="CZ799" s="93"/>
      <c r="DA799" s="93"/>
      <c r="DB799" s="93"/>
      <c r="DC799" s="93"/>
      <c r="DD799" s="93"/>
      <c r="DE799" s="93"/>
      <c r="DF799" s="93"/>
      <c r="DG799" s="93"/>
      <c r="DH799" s="93"/>
      <c r="DI799" s="93"/>
      <c r="DJ799" s="93"/>
      <c r="DK799" s="93"/>
      <c r="DL799" s="93"/>
      <c r="DM799" s="93"/>
      <c r="DN799" s="93"/>
      <c r="DO799" s="93"/>
      <c r="DP799" s="93"/>
      <c r="DQ799" s="93"/>
      <c r="DR799" s="93"/>
      <c r="DS799" s="93"/>
      <c r="DT799" s="93"/>
      <c r="DU799" s="93"/>
      <c r="DV799" s="93"/>
      <c r="DW799" s="93"/>
      <c r="DX799" s="93"/>
      <c r="DY799" s="93"/>
      <c r="DZ799" s="93"/>
      <c r="EA799" s="93"/>
      <c r="EB799" s="93"/>
      <c r="EC799" s="93"/>
      <c r="ED799" s="93"/>
      <c r="EE799" s="93"/>
      <c r="EF799" s="93"/>
      <c r="EG799" s="93"/>
      <c r="EH799" s="93"/>
      <c r="EI799" s="93"/>
      <c r="EJ799" s="93"/>
      <c r="EK799" s="93"/>
      <c r="EL799" s="93"/>
      <c r="EM799" s="93"/>
      <c r="EN799" s="93"/>
      <c r="EO799" s="93"/>
      <c r="EP799" s="93"/>
      <c r="EQ799" s="93"/>
      <c r="ER799" s="93"/>
      <c r="ES799" s="93"/>
      <c r="ET799" s="93"/>
      <c r="EU799" s="93"/>
      <c r="EV799" s="93"/>
      <c r="EW799" s="93"/>
      <c r="EX799" s="93"/>
      <c r="EY799" s="93"/>
      <c r="EZ799" s="93"/>
      <c r="FA799" s="93"/>
      <c r="FB799" s="93"/>
      <c r="FC799" s="93"/>
      <c r="FD799" s="93"/>
      <c r="FE799" s="93"/>
      <c r="FF799" s="93"/>
    </row>
    <row r="800" spans="1:162" ht="15.75" customHeight="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c r="CM800" s="93"/>
      <c r="CN800" s="93"/>
      <c r="CO800" s="93"/>
      <c r="CP800" s="93"/>
      <c r="CQ800" s="93"/>
      <c r="CR800" s="93"/>
      <c r="CS800" s="93"/>
      <c r="CT800" s="93"/>
      <c r="CU800" s="93"/>
      <c r="CV800" s="93"/>
      <c r="CW800" s="93"/>
      <c r="CX800" s="93"/>
      <c r="CY800" s="93"/>
      <c r="CZ800" s="93"/>
      <c r="DA800" s="93"/>
      <c r="DB800" s="93"/>
      <c r="DC800" s="93"/>
      <c r="DD800" s="93"/>
      <c r="DE800" s="93"/>
      <c r="DF800" s="93"/>
      <c r="DG800" s="93"/>
      <c r="DH800" s="93"/>
      <c r="DI800" s="93"/>
      <c r="DJ800" s="93"/>
      <c r="DK800" s="93"/>
      <c r="DL800" s="93"/>
      <c r="DM800" s="93"/>
      <c r="DN800" s="93"/>
      <c r="DO800" s="93"/>
      <c r="DP800" s="93"/>
      <c r="DQ800" s="93"/>
      <c r="DR800" s="93"/>
      <c r="DS800" s="93"/>
      <c r="DT800" s="93"/>
      <c r="DU800" s="93"/>
      <c r="DV800" s="93"/>
      <c r="DW800" s="93"/>
      <c r="DX800" s="93"/>
      <c r="DY800" s="93"/>
      <c r="DZ800" s="93"/>
      <c r="EA800" s="93"/>
      <c r="EB800" s="93"/>
      <c r="EC800" s="93"/>
      <c r="ED800" s="93"/>
      <c r="EE800" s="93"/>
      <c r="EF800" s="93"/>
      <c r="EG800" s="93"/>
      <c r="EH800" s="93"/>
      <c r="EI800" s="93"/>
      <c r="EJ800" s="93"/>
      <c r="EK800" s="93"/>
      <c r="EL800" s="93"/>
      <c r="EM800" s="93"/>
      <c r="EN800" s="93"/>
      <c r="EO800" s="93"/>
      <c r="EP800" s="93"/>
      <c r="EQ800" s="93"/>
      <c r="ER800" s="93"/>
      <c r="ES800" s="93"/>
      <c r="ET800" s="93"/>
      <c r="EU800" s="93"/>
      <c r="EV800" s="93"/>
      <c r="EW800" s="93"/>
      <c r="EX800" s="93"/>
      <c r="EY800" s="93"/>
      <c r="EZ800" s="93"/>
      <c r="FA800" s="93"/>
      <c r="FB800" s="93"/>
      <c r="FC800" s="93"/>
      <c r="FD800" s="93"/>
      <c r="FE800" s="93"/>
      <c r="FF800" s="93"/>
    </row>
    <row r="801" spans="1:162" ht="15.75" customHeight="1">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c r="CM801" s="93"/>
      <c r="CN801" s="93"/>
      <c r="CO801" s="93"/>
      <c r="CP801" s="93"/>
      <c r="CQ801" s="93"/>
      <c r="CR801" s="93"/>
      <c r="CS801" s="93"/>
      <c r="CT801" s="93"/>
      <c r="CU801" s="93"/>
      <c r="CV801" s="93"/>
      <c r="CW801" s="93"/>
      <c r="CX801" s="93"/>
      <c r="CY801" s="93"/>
      <c r="CZ801" s="93"/>
      <c r="DA801" s="93"/>
      <c r="DB801" s="93"/>
      <c r="DC801" s="93"/>
      <c r="DD801" s="93"/>
      <c r="DE801" s="93"/>
      <c r="DF801" s="93"/>
      <c r="DG801" s="93"/>
      <c r="DH801" s="93"/>
      <c r="DI801" s="93"/>
      <c r="DJ801" s="93"/>
      <c r="DK801" s="93"/>
      <c r="DL801" s="93"/>
      <c r="DM801" s="93"/>
      <c r="DN801" s="93"/>
      <c r="DO801" s="93"/>
      <c r="DP801" s="93"/>
      <c r="DQ801" s="93"/>
      <c r="DR801" s="93"/>
      <c r="DS801" s="93"/>
      <c r="DT801" s="93"/>
      <c r="DU801" s="93"/>
      <c r="DV801" s="93"/>
      <c r="DW801" s="93"/>
      <c r="DX801" s="93"/>
      <c r="DY801" s="93"/>
      <c r="DZ801" s="93"/>
      <c r="EA801" s="93"/>
      <c r="EB801" s="93"/>
      <c r="EC801" s="93"/>
      <c r="ED801" s="93"/>
      <c r="EE801" s="93"/>
      <c r="EF801" s="93"/>
      <c r="EG801" s="93"/>
      <c r="EH801" s="93"/>
      <c r="EI801" s="93"/>
      <c r="EJ801" s="93"/>
      <c r="EK801" s="93"/>
      <c r="EL801" s="93"/>
      <c r="EM801" s="93"/>
      <c r="EN801" s="93"/>
      <c r="EO801" s="93"/>
      <c r="EP801" s="93"/>
      <c r="EQ801" s="93"/>
      <c r="ER801" s="93"/>
      <c r="ES801" s="93"/>
      <c r="ET801" s="93"/>
      <c r="EU801" s="93"/>
      <c r="EV801" s="93"/>
      <c r="EW801" s="93"/>
      <c r="EX801" s="93"/>
      <c r="EY801" s="93"/>
      <c r="EZ801" s="93"/>
      <c r="FA801" s="93"/>
      <c r="FB801" s="93"/>
      <c r="FC801" s="93"/>
      <c r="FD801" s="93"/>
      <c r="FE801" s="93"/>
      <c r="FF801" s="93"/>
    </row>
    <row r="802" spans="1:162" ht="15.75" customHeight="1">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c r="CM802" s="93"/>
      <c r="CN802" s="93"/>
      <c r="CO802" s="93"/>
      <c r="CP802" s="93"/>
      <c r="CQ802" s="93"/>
      <c r="CR802" s="93"/>
      <c r="CS802" s="93"/>
      <c r="CT802" s="93"/>
      <c r="CU802" s="93"/>
      <c r="CV802" s="93"/>
      <c r="CW802" s="93"/>
      <c r="CX802" s="93"/>
      <c r="CY802" s="93"/>
      <c r="CZ802" s="93"/>
      <c r="DA802" s="93"/>
      <c r="DB802" s="93"/>
      <c r="DC802" s="93"/>
      <c r="DD802" s="93"/>
      <c r="DE802" s="93"/>
      <c r="DF802" s="93"/>
      <c r="DG802" s="93"/>
      <c r="DH802" s="93"/>
      <c r="DI802" s="93"/>
      <c r="DJ802" s="93"/>
      <c r="DK802" s="93"/>
      <c r="DL802" s="93"/>
      <c r="DM802" s="93"/>
      <c r="DN802" s="93"/>
      <c r="DO802" s="93"/>
      <c r="DP802" s="93"/>
      <c r="DQ802" s="93"/>
      <c r="DR802" s="93"/>
      <c r="DS802" s="93"/>
      <c r="DT802" s="93"/>
      <c r="DU802" s="93"/>
      <c r="DV802" s="93"/>
      <c r="DW802" s="93"/>
      <c r="DX802" s="93"/>
      <c r="DY802" s="93"/>
      <c r="DZ802" s="93"/>
      <c r="EA802" s="93"/>
      <c r="EB802" s="93"/>
      <c r="EC802" s="93"/>
      <c r="ED802" s="93"/>
      <c r="EE802" s="93"/>
      <c r="EF802" s="93"/>
      <c r="EG802" s="93"/>
      <c r="EH802" s="93"/>
      <c r="EI802" s="93"/>
      <c r="EJ802" s="93"/>
      <c r="EK802" s="93"/>
      <c r="EL802" s="93"/>
      <c r="EM802" s="93"/>
      <c r="EN802" s="93"/>
      <c r="EO802" s="93"/>
      <c r="EP802" s="93"/>
      <c r="EQ802" s="93"/>
      <c r="ER802" s="93"/>
      <c r="ES802" s="93"/>
      <c r="ET802" s="93"/>
      <c r="EU802" s="93"/>
      <c r="EV802" s="93"/>
      <c r="EW802" s="93"/>
      <c r="EX802" s="93"/>
      <c r="EY802" s="93"/>
      <c r="EZ802" s="93"/>
      <c r="FA802" s="93"/>
      <c r="FB802" s="93"/>
      <c r="FC802" s="93"/>
      <c r="FD802" s="93"/>
      <c r="FE802" s="93"/>
      <c r="FF802" s="93"/>
    </row>
    <row r="803" spans="1:162" ht="15.75" customHeight="1">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c r="CM803" s="93"/>
      <c r="CN803" s="93"/>
      <c r="CO803" s="93"/>
      <c r="CP803" s="93"/>
      <c r="CQ803" s="93"/>
      <c r="CR803" s="93"/>
      <c r="CS803" s="93"/>
      <c r="CT803" s="93"/>
      <c r="CU803" s="93"/>
      <c r="CV803" s="93"/>
      <c r="CW803" s="93"/>
      <c r="CX803" s="93"/>
      <c r="CY803" s="93"/>
      <c r="CZ803" s="93"/>
      <c r="DA803" s="93"/>
      <c r="DB803" s="93"/>
      <c r="DC803" s="93"/>
      <c r="DD803" s="93"/>
      <c r="DE803" s="93"/>
      <c r="DF803" s="93"/>
      <c r="DG803" s="93"/>
      <c r="DH803" s="93"/>
      <c r="DI803" s="93"/>
      <c r="DJ803" s="93"/>
      <c r="DK803" s="93"/>
      <c r="DL803" s="93"/>
      <c r="DM803" s="93"/>
      <c r="DN803" s="93"/>
      <c r="DO803" s="93"/>
      <c r="DP803" s="93"/>
      <c r="DQ803" s="93"/>
      <c r="DR803" s="93"/>
      <c r="DS803" s="93"/>
      <c r="DT803" s="93"/>
      <c r="DU803" s="93"/>
      <c r="DV803" s="93"/>
      <c r="DW803" s="93"/>
      <c r="DX803" s="93"/>
      <c r="DY803" s="93"/>
      <c r="DZ803" s="93"/>
      <c r="EA803" s="93"/>
      <c r="EB803" s="93"/>
      <c r="EC803" s="93"/>
      <c r="ED803" s="93"/>
      <c r="EE803" s="93"/>
      <c r="EF803" s="93"/>
      <c r="EG803" s="93"/>
      <c r="EH803" s="93"/>
      <c r="EI803" s="93"/>
      <c r="EJ803" s="93"/>
      <c r="EK803" s="93"/>
      <c r="EL803" s="93"/>
      <c r="EM803" s="93"/>
      <c r="EN803" s="93"/>
      <c r="EO803" s="93"/>
      <c r="EP803" s="93"/>
      <c r="EQ803" s="93"/>
      <c r="ER803" s="93"/>
      <c r="ES803" s="93"/>
      <c r="ET803" s="93"/>
      <c r="EU803" s="93"/>
      <c r="EV803" s="93"/>
      <c r="EW803" s="93"/>
      <c r="EX803" s="93"/>
      <c r="EY803" s="93"/>
      <c r="EZ803" s="93"/>
      <c r="FA803" s="93"/>
      <c r="FB803" s="93"/>
      <c r="FC803" s="93"/>
      <c r="FD803" s="93"/>
      <c r="FE803" s="93"/>
      <c r="FF803" s="93"/>
    </row>
    <row r="804" spans="1:162" ht="15.75" customHeight="1">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c r="CM804" s="93"/>
      <c r="CN804" s="93"/>
      <c r="CO804" s="93"/>
      <c r="CP804" s="93"/>
      <c r="CQ804" s="93"/>
      <c r="CR804" s="93"/>
      <c r="CS804" s="93"/>
      <c r="CT804" s="93"/>
      <c r="CU804" s="93"/>
      <c r="CV804" s="93"/>
      <c r="CW804" s="93"/>
      <c r="CX804" s="93"/>
      <c r="CY804" s="93"/>
      <c r="CZ804" s="93"/>
      <c r="DA804" s="93"/>
      <c r="DB804" s="93"/>
      <c r="DC804" s="93"/>
      <c r="DD804" s="93"/>
      <c r="DE804" s="93"/>
      <c r="DF804" s="93"/>
      <c r="DG804" s="93"/>
      <c r="DH804" s="93"/>
      <c r="DI804" s="93"/>
      <c r="DJ804" s="93"/>
      <c r="DK804" s="93"/>
      <c r="DL804" s="93"/>
      <c r="DM804" s="93"/>
      <c r="DN804" s="93"/>
      <c r="DO804" s="93"/>
      <c r="DP804" s="93"/>
      <c r="DQ804" s="93"/>
      <c r="DR804" s="93"/>
      <c r="DS804" s="93"/>
      <c r="DT804" s="93"/>
      <c r="DU804" s="93"/>
      <c r="DV804" s="93"/>
      <c r="DW804" s="93"/>
      <c r="DX804" s="93"/>
      <c r="DY804" s="93"/>
      <c r="DZ804" s="93"/>
      <c r="EA804" s="93"/>
      <c r="EB804" s="93"/>
      <c r="EC804" s="93"/>
      <c r="ED804" s="93"/>
      <c r="EE804" s="93"/>
      <c r="EF804" s="93"/>
      <c r="EG804" s="93"/>
      <c r="EH804" s="93"/>
      <c r="EI804" s="93"/>
      <c r="EJ804" s="93"/>
      <c r="EK804" s="93"/>
      <c r="EL804" s="93"/>
      <c r="EM804" s="93"/>
      <c r="EN804" s="93"/>
      <c r="EO804" s="93"/>
      <c r="EP804" s="93"/>
      <c r="EQ804" s="93"/>
      <c r="ER804" s="93"/>
      <c r="ES804" s="93"/>
      <c r="ET804" s="93"/>
      <c r="EU804" s="93"/>
      <c r="EV804" s="93"/>
      <c r="EW804" s="93"/>
      <c r="EX804" s="93"/>
      <c r="EY804" s="93"/>
      <c r="EZ804" s="93"/>
      <c r="FA804" s="93"/>
      <c r="FB804" s="93"/>
      <c r="FC804" s="93"/>
      <c r="FD804" s="93"/>
      <c r="FE804" s="93"/>
      <c r="FF804" s="93"/>
    </row>
    <row r="805" spans="1:162" ht="15.75" customHeight="1">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c r="CM805" s="93"/>
      <c r="CN805" s="93"/>
      <c r="CO805" s="93"/>
      <c r="CP805" s="93"/>
      <c r="CQ805" s="93"/>
      <c r="CR805" s="93"/>
      <c r="CS805" s="93"/>
      <c r="CT805" s="93"/>
      <c r="CU805" s="93"/>
      <c r="CV805" s="93"/>
      <c r="CW805" s="93"/>
      <c r="CX805" s="93"/>
      <c r="CY805" s="93"/>
      <c r="CZ805" s="93"/>
      <c r="DA805" s="93"/>
      <c r="DB805" s="93"/>
      <c r="DC805" s="93"/>
      <c r="DD805" s="93"/>
      <c r="DE805" s="93"/>
      <c r="DF805" s="93"/>
      <c r="DG805" s="93"/>
      <c r="DH805" s="93"/>
      <c r="DI805" s="93"/>
      <c r="DJ805" s="93"/>
      <c r="DK805" s="93"/>
      <c r="DL805" s="93"/>
      <c r="DM805" s="93"/>
      <c r="DN805" s="93"/>
      <c r="DO805" s="93"/>
      <c r="DP805" s="93"/>
      <c r="DQ805" s="93"/>
      <c r="DR805" s="93"/>
      <c r="DS805" s="93"/>
      <c r="DT805" s="93"/>
      <c r="DU805" s="93"/>
      <c r="DV805" s="93"/>
      <c r="DW805" s="93"/>
      <c r="DX805" s="93"/>
      <c r="DY805" s="93"/>
      <c r="DZ805" s="93"/>
      <c r="EA805" s="93"/>
      <c r="EB805" s="93"/>
      <c r="EC805" s="93"/>
      <c r="ED805" s="93"/>
      <c r="EE805" s="93"/>
      <c r="EF805" s="93"/>
      <c r="EG805" s="93"/>
      <c r="EH805" s="93"/>
      <c r="EI805" s="93"/>
      <c r="EJ805" s="93"/>
      <c r="EK805" s="93"/>
      <c r="EL805" s="93"/>
      <c r="EM805" s="93"/>
      <c r="EN805" s="93"/>
      <c r="EO805" s="93"/>
      <c r="EP805" s="93"/>
      <c r="EQ805" s="93"/>
      <c r="ER805" s="93"/>
      <c r="ES805" s="93"/>
      <c r="ET805" s="93"/>
      <c r="EU805" s="93"/>
      <c r="EV805" s="93"/>
      <c r="EW805" s="93"/>
      <c r="EX805" s="93"/>
      <c r="EY805" s="93"/>
      <c r="EZ805" s="93"/>
      <c r="FA805" s="93"/>
      <c r="FB805" s="93"/>
      <c r="FC805" s="93"/>
      <c r="FD805" s="93"/>
      <c r="FE805" s="93"/>
      <c r="FF805" s="93"/>
    </row>
    <row r="806" spans="1:162" ht="15.75" customHeight="1">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c r="CM806" s="93"/>
      <c r="CN806" s="93"/>
      <c r="CO806" s="93"/>
      <c r="CP806" s="93"/>
      <c r="CQ806" s="93"/>
      <c r="CR806" s="93"/>
      <c r="CS806" s="93"/>
      <c r="CT806" s="93"/>
      <c r="CU806" s="93"/>
      <c r="CV806" s="93"/>
      <c r="CW806" s="93"/>
      <c r="CX806" s="93"/>
      <c r="CY806" s="93"/>
      <c r="CZ806" s="93"/>
      <c r="DA806" s="93"/>
      <c r="DB806" s="93"/>
      <c r="DC806" s="93"/>
      <c r="DD806" s="93"/>
      <c r="DE806" s="93"/>
      <c r="DF806" s="93"/>
      <c r="DG806" s="93"/>
      <c r="DH806" s="93"/>
      <c r="DI806" s="93"/>
      <c r="DJ806" s="93"/>
      <c r="DK806" s="93"/>
      <c r="DL806" s="93"/>
      <c r="DM806" s="93"/>
      <c r="DN806" s="93"/>
      <c r="DO806" s="93"/>
      <c r="DP806" s="93"/>
      <c r="DQ806" s="93"/>
      <c r="DR806" s="93"/>
      <c r="DS806" s="93"/>
      <c r="DT806" s="93"/>
      <c r="DU806" s="93"/>
      <c r="DV806" s="93"/>
      <c r="DW806" s="93"/>
      <c r="DX806" s="93"/>
      <c r="DY806" s="93"/>
      <c r="DZ806" s="93"/>
      <c r="EA806" s="93"/>
      <c r="EB806" s="93"/>
      <c r="EC806" s="93"/>
      <c r="ED806" s="93"/>
      <c r="EE806" s="93"/>
      <c r="EF806" s="93"/>
      <c r="EG806" s="93"/>
      <c r="EH806" s="93"/>
      <c r="EI806" s="93"/>
      <c r="EJ806" s="93"/>
      <c r="EK806" s="93"/>
      <c r="EL806" s="93"/>
      <c r="EM806" s="93"/>
      <c r="EN806" s="93"/>
      <c r="EO806" s="93"/>
      <c r="EP806" s="93"/>
      <c r="EQ806" s="93"/>
      <c r="ER806" s="93"/>
      <c r="ES806" s="93"/>
      <c r="ET806" s="93"/>
      <c r="EU806" s="93"/>
      <c r="EV806" s="93"/>
      <c r="EW806" s="93"/>
      <c r="EX806" s="93"/>
      <c r="EY806" s="93"/>
      <c r="EZ806" s="93"/>
      <c r="FA806" s="93"/>
      <c r="FB806" s="93"/>
      <c r="FC806" s="93"/>
      <c r="FD806" s="93"/>
      <c r="FE806" s="93"/>
      <c r="FF806" s="93"/>
    </row>
    <row r="807" spans="1:162" ht="15.75" customHeight="1">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93"/>
      <c r="DV807" s="93"/>
      <c r="DW807" s="93"/>
      <c r="DX807" s="93"/>
      <c r="DY807" s="93"/>
      <c r="DZ807" s="93"/>
      <c r="EA807" s="93"/>
      <c r="EB807" s="93"/>
      <c r="EC807" s="93"/>
      <c r="ED807" s="93"/>
      <c r="EE807" s="93"/>
      <c r="EF807" s="93"/>
      <c r="EG807" s="93"/>
      <c r="EH807" s="93"/>
      <c r="EI807" s="93"/>
      <c r="EJ807" s="93"/>
      <c r="EK807" s="93"/>
      <c r="EL807" s="93"/>
      <c r="EM807" s="93"/>
      <c r="EN807" s="93"/>
      <c r="EO807" s="93"/>
      <c r="EP807" s="93"/>
      <c r="EQ807" s="93"/>
      <c r="ER807" s="93"/>
      <c r="ES807" s="93"/>
      <c r="ET807" s="93"/>
      <c r="EU807" s="93"/>
      <c r="EV807" s="93"/>
      <c r="EW807" s="93"/>
      <c r="EX807" s="93"/>
      <c r="EY807" s="93"/>
      <c r="EZ807" s="93"/>
      <c r="FA807" s="93"/>
      <c r="FB807" s="93"/>
      <c r="FC807" s="93"/>
      <c r="FD807" s="93"/>
      <c r="FE807" s="93"/>
      <c r="FF807" s="93"/>
    </row>
    <row r="808" spans="1:162" ht="15.75" customHeight="1">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row>
    <row r="809" spans="1:162" ht="15.75" customHeight="1">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c r="CM809" s="93"/>
      <c r="CN809" s="93"/>
      <c r="CO809" s="93"/>
      <c r="CP809" s="93"/>
      <c r="CQ809" s="93"/>
      <c r="CR809" s="93"/>
      <c r="CS809" s="93"/>
      <c r="CT809" s="93"/>
      <c r="CU809" s="93"/>
      <c r="CV809" s="93"/>
      <c r="CW809" s="93"/>
      <c r="CX809" s="93"/>
      <c r="CY809" s="93"/>
      <c r="CZ809" s="93"/>
      <c r="DA809" s="93"/>
      <c r="DB809" s="93"/>
      <c r="DC809" s="93"/>
      <c r="DD809" s="93"/>
      <c r="DE809" s="93"/>
      <c r="DF809" s="93"/>
      <c r="DG809" s="93"/>
      <c r="DH809" s="93"/>
      <c r="DI809" s="93"/>
      <c r="DJ809" s="93"/>
      <c r="DK809" s="93"/>
      <c r="DL809" s="93"/>
      <c r="DM809" s="93"/>
      <c r="DN809" s="93"/>
      <c r="DO809" s="93"/>
      <c r="DP809" s="93"/>
      <c r="DQ809" s="93"/>
      <c r="DR809" s="93"/>
      <c r="DS809" s="93"/>
      <c r="DT809" s="93"/>
      <c r="DU809" s="93"/>
      <c r="DV809" s="93"/>
      <c r="DW809" s="93"/>
      <c r="DX809" s="93"/>
      <c r="DY809" s="93"/>
      <c r="DZ809" s="93"/>
      <c r="EA809" s="93"/>
      <c r="EB809" s="93"/>
      <c r="EC809" s="93"/>
      <c r="ED809" s="93"/>
      <c r="EE809" s="93"/>
      <c r="EF809" s="93"/>
      <c r="EG809" s="93"/>
      <c r="EH809" s="93"/>
      <c r="EI809" s="93"/>
      <c r="EJ809" s="93"/>
      <c r="EK809" s="93"/>
      <c r="EL809" s="93"/>
      <c r="EM809" s="93"/>
      <c r="EN809" s="93"/>
      <c r="EO809" s="93"/>
      <c r="EP809" s="93"/>
      <c r="EQ809" s="93"/>
      <c r="ER809" s="93"/>
      <c r="ES809" s="93"/>
      <c r="ET809" s="93"/>
      <c r="EU809" s="93"/>
      <c r="EV809" s="93"/>
      <c r="EW809" s="93"/>
      <c r="EX809" s="93"/>
      <c r="EY809" s="93"/>
      <c r="EZ809" s="93"/>
      <c r="FA809" s="93"/>
      <c r="FB809" s="93"/>
      <c r="FC809" s="93"/>
      <c r="FD809" s="93"/>
      <c r="FE809" s="93"/>
      <c r="FF809" s="93"/>
    </row>
    <row r="810" spans="1:162" ht="15.75" customHeight="1">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c r="CM810" s="93"/>
      <c r="CN810" s="93"/>
      <c r="CO810" s="93"/>
      <c r="CP810" s="93"/>
      <c r="CQ810" s="93"/>
      <c r="CR810" s="93"/>
      <c r="CS810" s="93"/>
      <c r="CT810" s="93"/>
      <c r="CU810" s="93"/>
      <c r="CV810" s="93"/>
      <c r="CW810" s="93"/>
      <c r="CX810" s="93"/>
      <c r="CY810" s="93"/>
      <c r="CZ810" s="93"/>
      <c r="DA810" s="93"/>
      <c r="DB810" s="93"/>
      <c r="DC810" s="93"/>
      <c r="DD810" s="93"/>
      <c r="DE810" s="93"/>
      <c r="DF810" s="93"/>
      <c r="DG810" s="93"/>
      <c r="DH810" s="93"/>
      <c r="DI810" s="93"/>
      <c r="DJ810" s="93"/>
      <c r="DK810" s="93"/>
      <c r="DL810" s="93"/>
      <c r="DM810" s="93"/>
      <c r="DN810" s="93"/>
      <c r="DO810" s="93"/>
      <c r="DP810" s="93"/>
      <c r="DQ810" s="93"/>
      <c r="DR810" s="93"/>
      <c r="DS810" s="93"/>
      <c r="DT810" s="93"/>
      <c r="DU810" s="93"/>
      <c r="DV810" s="93"/>
      <c r="DW810" s="93"/>
      <c r="DX810" s="93"/>
      <c r="DY810" s="93"/>
      <c r="DZ810" s="93"/>
      <c r="EA810" s="93"/>
      <c r="EB810" s="93"/>
      <c r="EC810" s="93"/>
      <c r="ED810" s="93"/>
      <c r="EE810" s="93"/>
      <c r="EF810" s="93"/>
      <c r="EG810" s="93"/>
      <c r="EH810" s="93"/>
      <c r="EI810" s="93"/>
      <c r="EJ810" s="93"/>
      <c r="EK810" s="93"/>
      <c r="EL810" s="93"/>
      <c r="EM810" s="93"/>
      <c r="EN810" s="93"/>
      <c r="EO810" s="93"/>
      <c r="EP810" s="93"/>
      <c r="EQ810" s="93"/>
      <c r="ER810" s="93"/>
      <c r="ES810" s="93"/>
      <c r="ET810" s="93"/>
      <c r="EU810" s="93"/>
      <c r="EV810" s="93"/>
      <c r="EW810" s="93"/>
      <c r="EX810" s="93"/>
      <c r="EY810" s="93"/>
      <c r="EZ810" s="93"/>
      <c r="FA810" s="93"/>
      <c r="FB810" s="93"/>
      <c r="FC810" s="93"/>
      <c r="FD810" s="93"/>
      <c r="FE810" s="93"/>
      <c r="FF810" s="93"/>
    </row>
    <row r="811" spans="1:162" ht="15.75" customHeight="1">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c r="CM811" s="93"/>
      <c r="CN811" s="93"/>
      <c r="CO811" s="93"/>
      <c r="CP811" s="93"/>
      <c r="CQ811" s="93"/>
      <c r="CR811" s="93"/>
      <c r="CS811" s="93"/>
      <c r="CT811" s="93"/>
      <c r="CU811" s="93"/>
      <c r="CV811" s="93"/>
      <c r="CW811" s="93"/>
      <c r="CX811" s="93"/>
      <c r="CY811" s="93"/>
      <c r="CZ811" s="93"/>
      <c r="DA811" s="93"/>
      <c r="DB811" s="93"/>
      <c r="DC811" s="93"/>
      <c r="DD811" s="93"/>
      <c r="DE811" s="93"/>
      <c r="DF811" s="93"/>
      <c r="DG811" s="93"/>
      <c r="DH811" s="93"/>
      <c r="DI811" s="93"/>
      <c r="DJ811" s="93"/>
      <c r="DK811" s="93"/>
      <c r="DL811" s="93"/>
      <c r="DM811" s="93"/>
      <c r="DN811" s="93"/>
      <c r="DO811" s="93"/>
      <c r="DP811" s="93"/>
      <c r="DQ811" s="93"/>
      <c r="DR811" s="93"/>
      <c r="DS811" s="93"/>
      <c r="DT811" s="93"/>
      <c r="DU811" s="93"/>
      <c r="DV811" s="93"/>
      <c r="DW811" s="93"/>
      <c r="DX811" s="93"/>
      <c r="DY811" s="93"/>
      <c r="DZ811" s="93"/>
      <c r="EA811" s="93"/>
      <c r="EB811" s="93"/>
      <c r="EC811" s="93"/>
      <c r="ED811" s="93"/>
      <c r="EE811" s="93"/>
      <c r="EF811" s="93"/>
      <c r="EG811" s="93"/>
      <c r="EH811" s="93"/>
      <c r="EI811" s="93"/>
      <c r="EJ811" s="93"/>
      <c r="EK811" s="93"/>
      <c r="EL811" s="93"/>
      <c r="EM811" s="93"/>
      <c r="EN811" s="93"/>
      <c r="EO811" s="93"/>
      <c r="EP811" s="93"/>
      <c r="EQ811" s="93"/>
      <c r="ER811" s="93"/>
      <c r="ES811" s="93"/>
      <c r="ET811" s="93"/>
      <c r="EU811" s="93"/>
      <c r="EV811" s="93"/>
      <c r="EW811" s="93"/>
      <c r="EX811" s="93"/>
      <c r="EY811" s="93"/>
      <c r="EZ811" s="93"/>
      <c r="FA811" s="93"/>
      <c r="FB811" s="93"/>
      <c r="FC811" s="93"/>
      <c r="FD811" s="93"/>
      <c r="FE811" s="93"/>
      <c r="FF811" s="93"/>
    </row>
    <row r="812" spans="1:162" ht="15.75" customHeight="1">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c r="CM812" s="93"/>
      <c r="CN812" s="93"/>
      <c r="CO812" s="93"/>
      <c r="CP812" s="93"/>
      <c r="CQ812" s="93"/>
      <c r="CR812" s="93"/>
      <c r="CS812" s="93"/>
      <c r="CT812" s="93"/>
      <c r="CU812" s="93"/>
      <c r="CV812" s="93"/>
      <c r="CW812" s="93"/>
      <c r="CX812" s="93"/>
      <c r="CY812" s="93"/>
      <c r="CZ812" s="93"/>
      <c r="DA812" s="93"/>
      <c r="DB812" s="93"/>
      <c r="DC812" s="93"/>
      <c r="DD812" s="93"/>
      <c r="DE812" s="93"/>
      <c r="DF812" s="93"/>
      <c r="DG812" s="93"/>
      <c r="DH812" s="93"/>
      <c r="DI812" s="93"/>
      <c r="DJ812" s="93"/>
      <c r="DK812" s="93"/>
      <c r="DL812" s="93"/>
      <c r="DM812" s="93"/>
      <c r="DN812" s="93"/>
      <c r="DO812" s="93"/>
      <c r="DP812" s="93"/>
      <c r="DQ812" s="93"/>
      <c r="DR812" s="93"/>
      <c r="DS812" s="93"/>
      <c r="DT812" s="93"/>
      <c r="DU812" s="93"/>
      <c r="DV812" s="93"/>
      <c r="DW812" s="93"/>
      <c r="DX812" s="93"/>
      <c r="DY812" s="93"/>
      <c r="DZ812" s="93"/>
      <c r="EA812" s="93"/>
      <c r="EB812" s="93"/>
      <c r="EC812" s="93"/>
      <c r="ED812" s="93"/>
      <c r="EE812" s="93"/>
      <c r="EF812" s="93"/>
      <c r="EG812" s="93"/>
      <c r="EH812" s="93"/>
      <c r="EI812" s="93"/>
      <c r="EJ812" s="93"/>
      <c r="EK812" s="93"/>
      <c r="EL812" s="93"/>
      <c r="EM812" s="93"/>
      <c r="EN812" s="93"/>
      <c r="EO812" s="93"/>
      <c r="EP812" s="93"/>
      <c r="EQ812" s="93"/>
      <c r="ER812" s="93"/>
      <c r="ES812" s="93"/>
      <c r="ET812" s="93"/>
      <c r="EU812" s="93"/>
      <c r="EV812" s="93"/>
      <c r="EW812" s="93"/>
      <c r="EX812" s="93"/>
      <c r="EY812" s="93"/>
      <c r="EZ812" s="93"/>
      <c r="FA812" s="93"/>
      <c r="FB812" s="93"/>
      <c r="FC812" s="93"/>
      <c r="FD812" s="93"/>
      <c r="FE812" s="93"/>
      <c r="FF812" s="93"/>
    </row>
    <row r="813" spans="1:162" ht="15.75" customHeight="1">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c r="CM813" s="93"/>
      <c r="CN813" s="93"/>
      <c r="CO813" s="93"/>
      <c r="CP813" s="93"/>
      <c r="CQ813" s="93"/>
      <c r="CR813" s="93"/>
      <c r="CS813" s="93"/>
      <c r="CT813" s="93"/>
      <c r="CU813" s="93"/>
      <c r="CV813" s="93"/>
      <c r="CW813" s="93"/>
      <c r="CX813" s="93"/>
      <c r="CY813" s="93"/>
      <c r="CZ813" s="93"/>
      <c r="DA813" s="93"/>
      <c r="DB813" s="93"/>
      <c r="DC813" s="93"/>
      <c r="DD813" s="93"/>
      <c r="DE813" s="93"/>
      <c r="DF813" s="93"/>
      <c r="DG813" s="93"/>
      <c r="DH813" s="93"/>
      <c r="DI813" s="93"/>
      <c r="DJ813" s="93"/>
      <c r="DK813" s="93"/>
      <c r="DL813" s="93"/>
      <c r="DM813" s="93"/>
      <c r="DN813" s="93"/>
      <c r="DO813" s="93"/>
      <c r="DP813" s="93"/>
      <c r="DQ813" s="93"/>
      <c r="DR813" s="93"/>
      <c r="DS813" s="93"/>
      <c r="DT813" s="93"/>
      <c r="DU813" s="93"/>
      <c r="DV813" s="93"/>
      <c r="DW813" s="93"/>
      <c r="DX813" s="93"/>
      <c r="DY813" s="93"/>
      <c r="DZ813" s="93"/>
      <c r="EA813" s="93"/>
      <c r="EB813" s="93"/>
      <c r="EC813" s="93"/>
      <c r="ED813" s="93"/>
      <c r="EE813" s="93"/>
      <c r="EF813" s="93"/>
      <c r="EG813" s="93"/>
      <c r="EH813" s="93"/>
      <c r="EI813" s="93"/>
      <c r="EJ813" s="93"/>
      <c r="EK813" s="93"/>
      <c r="EL813" s="93"/>
      <c r="EM813" s="93"/>
      <c r="EN813" s="93"/>
      <c r="EO813" s="93"/>
      <c r="EP813" s="93"/>
      <c r="EQ813" s="93"/>
      <c r="ER813" s="93"/>
      <c r="ES813" s="93"/>
      <c r="ET813" s="93"/>
      <c r="EU813" s="93"/>
      <c r="EV813" s="93"/>
      <c r="EW813" s="93"/>
      <c r="EX813" s="93"/>
      <c r="EY813" s="93"/>
      <c r="EZ813" s="93"/>
      <c r="FA813" s="93"/>
      <c r="FB813" s="93"/>
      <c r="FC813" s="93"/>
      <c r="FD813" s="93"/>
      <c r="FE813" s="93"/>
      <c r="FF813" s="93"/>
    </row>
    <row r="814" spans="1:162" ht="15.75" customHeight="1">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c r="CM814" s="93"/>
      <c r="CN814" s="93"/>
      <c r="CO814" s="93"/>
      <c r="CP814" s="93"/>
      <c r="CQ814" s="93"/>
      <c r="CR814" s="93"/>
      <c r="CS814" s="93"/>
      <c r="CT814" s="93"/>
      <c r="CU814" s="93"/>
      <c r="CV814" s="93"/>
      <c r="CW814" s="93"/>
      <c r="CX814" s="93"/>
      <c r="CY814" s="93"/>
      <c r="CZ814" s="93"/>
      <c r="DA814" s="93"/>
      <c r="DB814" s="93"/>
      <c r="DC814" s="93"/>
      <c r="DD814" s="93"/>
      <c r="DE814" s="93"/>
      <c r="DF814" s="93"/>
      <c r="DG814" s="93"/>
      <c r="DH814" s="93"/>
      <c r="DI814" s="93"/>
      <c r="DJ814" s="93"/>
      <c r="DK814" s="93"/>
      <c r="DL814" s="93"/>
      <c r="DM814" s="93"/>
      <c r="DN814" s="93"/>
      <c r="DO814" s="93"/>
      <c r="DP814" s="93"/>
      <c r="DQ814" s="93"/>
      <c r="DR814" s="93"/>
      <c r="DS814" s="93"/>
      <c r="DT814" s="93"/>
      <c r="DU814" s="93"/>
      <c r="DV814" s="93"/>
      <c r="DW814" s="93"/>
      <c r="DX814" s="93"/>
      <c r="DY814" s="93"/>
      <c r="DZ814" s="93"/>
      <c r="EA814" s="93"/>
      <c r="EB814" s="93"/>
      <c r="EC814" s="93"/>
      <c r="ED814" s="93"/>
      <c r="EE814" s="93"/>
      <c r="EF814" s="93"/>
      <c r="EG814" s="93"/>
      <c r="EH814" s="93"/>
      <c r="EI814" s="93"/>
      <c r="EJ814" s="93"/>
      <c r="EK814" s="93"/>
      <c r="EL814" s="93"/>
      <c r="EM814" s="93"/>
      <c r="EN814" s="93"/>
      <c r="EO814" s="93"/>
      <c r="EP814" s="93"/>
      <c r="EQ814" s="93"/>
      <c r="ER814" s="93"/>
      <c r="ES814" s="93"/>
      <c r="ET814" s="93"/>
      <c r="EU814" s="93"/>
      <c r="EV814" s="93"/>
      <c r="EW814" s="93"/>
      <c r="EX814" s="93"/>
      <c r="EY814" s="93"/>
      <c r="EZ814" s="93"/>
      <c r="FA814" s="93"/>
      <c r="FB814" s="93"/>
      <c r="FC814" s="93"/>
      <c r="FD814" s="93"/>
      <c r="FE814" s="93"/>
      <c r="FF814" s="93"/>
    </row>
    <row r="815" spans="1:162" ht="15.75" customHeight="1">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row>
    <row r="816" spans="1:162" ht="15.75" customHeight="1">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c r="CM816" s="93"/>
      <c r="CN816" s="93"/>
      <c r="CO816" s="93"/>
      <c r="CP816" s="93"/>
      <c r="CQ816" s="93"/>
      <c r="CR816" s="93"/>
      <c r="CS816" s="93"/>
      <c r="CT816" s="93"/>
      <c r="CU816" s="93"/>
      <c r="CV816" s="93"/>
      <c r="CW816" s="93"/>
      <c r="CX816" s="93"/>
      <c r="CY816" s="93"/>
      <c r="CZ816" s="93"/>
      <c r="DA816" s="93"/>
      <c r="DB816" s="93"/>
      <c r="DC816" s="93"/>
      <c r="DD816" s="93"/>
      <c r="DE816" s="93"/>
      <c r="DF816" s="93"/>
      <c r="DG816" s="93"/>
      <c r="DH816" s="93"/>
      <c r="DI816" s="93"/>
      <c r="DJ816" s="93"/>
      <c r="DK816" s="93"/>
      <c r="DL816" s="93"/>
      <c r="DM816" s="93"/>
      <c r="DN816" s="93"/>
      <c r="DO816" s="93"/>
      <c r="DP816" s="93"/>
      <c r="DQ816" s="93"/>
      <c r="DR816" s="93"/>
      <c r="DS816" s="93"/>
      <c r="DT816" s="93"/>
      <c r="DU816" s="93"/>
      <c r="DV816" s="93"/>
      <c r="DW816" s="93"/>
      <c r="DX816" s="93"/>
      <c r="DY816" s="93"/>
      <c r="DZ816" s="93"/>
      <c r="EA816" s="93"/>
      <c r="EB816" s="93"/>
      <c r="EC816" s="93"/>
      <c r="ED816" s="93"/>
      <c r="EE816" s="93"/>
      <c r="EF816" s="93"/>
      <c r="EG816" s="93"/>
      <c r="EH816" s="93"/>
      <c r="EI816" s="93"/>
      <c r="EJ816" s="93"/>
      <c r="EK816" s="93"/>
      <c r="EL816" s="93"/>
      <c r="EM816" s="93"/>
      <c r="EN816" s="93"/>
      <c r="EO816" s="93"/>
      <c r="EP816" s="93"/>
      <c r="EQ816" s="93"/>
      <c r="ER816" s="93"/>
      <c r="ES816" s="93"/>
      <c r="ET816" s="93"/>
      <c r="EU816" s="93"/>
      <c r="EV816" s="93"/>
      <c r="EW816" s="93"/>
      <c r="EX816" s="93"/>
      <c r="EY816" s="93"/>
      <c r="EZ816" s="93"/>
      <c r="FA816" s="93"/>
      <c r="FB816" s="93"/>
      <c r="FC816" s="93"/>
      <c r="FD816" s="93"/>
      <c r="FE816" s="93"/>
      <c r="FF816" s="93"/>
    </row>
    <row r="817" spans="1:162" ht="15.75" customHeight="1">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c r="CM817" s="93"/>
      <c r="CN817" s="93"/>
      <c r="CO817" s="93"/>
      <c r="CP817" s="93"/>
      <c r="CQ817" s="93"/>
      <c r="CR817" s="93"/>
      <c r="CS817" s="93"/>
      <c r="CT817" s="93"/>
      <c r="CU817" s="93"/>
      <c r="CV817" s="93"/>
      <c r="CW817" s="93"/>
      <c r="CX817" s="93"/>
      <c r="CY817" s="93"/>
      <c r="CZ817" s="93"/>
      <c r="DA817" s="93"/>
      <c r="DB817" s="93"/>
      <c r="DC817" s="93"/>
      <c r="DD817" s="93"/>
      <c r="DE817" s="93"/>
      <c r="DF817" s="93"/>
      <c r="DG817" s="93"/>
      <c r="DH817" s="93"/>
      <c r="DI817" s="93"/>
      <c r="DJ817" s="93"/>
      <c r="DK817" s="93"/>
      <c r="DL817" s="93"/>
      <c r="DM817" s="93"/>
      <c r="DN817" s="93"/>
      <c r="DO817" s="93"/>
      <c r="DP817" s="93"/>
      <c r="DQ817" s="93"/>
      <c r="DR817" s="93"/>
      <c r="DS817" s="93"/>
      <c r="DT817" s="93"/>
      <c r="DU817" s="93"/>
      <c r="DV817" s="93"/>
      <c r="DW817" s="93"/>
      <c r="DX817" s="93"/>
      <c r="DY817" s="93"/>
      <c r="DZ817" s="93"/>
      <c r="EA817" s="93"/>
      <c r="EB817" s="93"/>
      <c r="EC817" s="93"/>
      <c r="ED817" s="93"/>
      <c r="EE817" s="93"/>
      <c r="EF817" s="93"/>
      <c r="EG817" s="93"/>
      <c r="EH817" s="93"/>
      <c r="EI817" s="93"/>
      <c r="EJ817" s="93"/>
      <c r="EK817" s="93"/>
      <c r="EL817" s="93"/>
      <c r="EM817" s="93"/>
      <c r="EN817" s="93"/>
      <c r="EO817" s="93"/>
      <c r="EP817" s="93"/>
      <c r="EQ817" s="93"/>
      <c r="ER817" s="93"/>
      <c r="ES817" s="93"/>
      <c r="ET817" s="93"/>
      <c r="EU817" s="93"/>
      <c r="EV817" s="93"/>
      <c r="EW817" s="93"/>
      <c r="EX817" s="93"/>
      <c r="EY817" s="93"/>
      <c r="EZ817" s="93"/>
      <c r="FA817" s="93"/>
      <c r="FB817" s="93"/>
      <c r="FC817" s="93"/>
      <c r="FD817" s="93"/>
      <c r="FE817" s="93"/>
      <c r="FF817" s="93"/>
    </row>
    <row r="818" spans="1:162" ht="15.75" customHeight="1">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c r="CM818" s="93"/>
      <c r="CN818" s="93"/>
      <c r="CO818" s="93"/>
      <c r="CP818" s="93"/>
      <c r="CQ818" s="93"/>
      <c r="CR818" s="93"/>
      <c r="CS818" s="93"/>
      <c r="CT818" s="93"/>
      <c r="CU818" s="93"/>
      <c r="CV818" s="93"/>
      <c r="CW818" s="93"/>
      <c r="CX818" s="93"/>
      <c r="CY818" s="93"/>
      <c r="CZ818" s="93"/>
      <c r="DA818" s="93"/>
      <c r="DB818" s="93"/>
      <c r="DC818" s="93"/>
      <c r="DD818" s="93"/>
      <c r="DE818" s="93"/>
      <c r="DF818" s="93"/>
      <c r="DG818" s="93"/>
      <c r="DH818" s="93"/>
      <c r="DI818" s="93"/>
      <c r="DJ818" s="93"/>
      <c r="DK818" s="93"/>
      <c r="DL818" s="93"/>
      <c r="DM818" s="93"/>
      <c r="DN818" s="93"/>
      <c r="DO818" s="93"/>
      <c r="DP818" s="93"/>
      <c r="DQ818" s="93"/>
      <c r="DR818" s="93"/>
      <c r="DS818" s="93"/>
      <c r="DT818" s="93"/>
      <c r="DU818" s="93"/>
      <c r="DV818" s="93"/>
      <c r="DW818" s="93"/>
      <c r="DX818" s="93"/>
      <c r="DY818" s="93"/>
      <c r="DZ818" s="93"/>
      <c r="EA818" s="93"/>
      <c r="EB818" s="93"/>
      <c r="EC818" s="93"/>
      <c r="ED818" s="93"/>
      <c r="EE818" s="93"/>
      <c r="EF818" s="93"/>
      <c r="EG818" s="93"/>
      <c r="EH818" s="93"/>
      <c r="EI818" s="93"/>
      <c r="EJ818" s="93"/>
      <c r="EK818" s="93"/>
      <c r="EL818" s="93"/>
      <c r="EM818" s="93"/>
      <c r="EN818" s="93"/>
      <c r="EO818" s="93"/>
      <c r="EP818" s="93"/>
      <c r="EQ818" s="93"/>
      <c r="ER818" s="93"/>
      <c r="ES818" s="93"/>
      <c r="ET818" s="93"/>
      <c r="EU818" s="93"/>
      <c r="EV818" s="93"/>
      <c r="EW818" s="93"/>
      <c r="EX818" s="93"/>
      <c r="EY818" s="93"/>
      <c r="EZ818" s="93"/>
      <c r="FA818" s="93"/>
      <c r="FB818" s="93"/>
      <c r="FC818" s="93"/>
      <c r="FD818" s="93"/>
      <c r="FE818" s="93"/>
      <c r="FF818" s="93"/>
    </row>
    <row r="819" spans="1:162" ht="15.75" customHeight="1">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c r="CM819" s="93"/>
      <c r="CN819" s="93"/>
      <c r="CO819" s="93"/>
      <c r="CP819" s="93"/>
      <c r="CQ819" s="93"/>
      <c r="CR819" s="93"/>
      <c r="CS819" s="93"/>
      <c r="CT819" s="93"/>
      <c r="CU819" s="93"/>
      <c r="CV819" s="93"/>
      <c r="CW819" s="93"/>
      <c r="CX819" s="93"/>
      <c r="CY819" s="93"/>
      <c r="CZ819" s="93"/>
      <c r="DA819" s="93"/>
      <c r="DB819" s="93"/>
      <c r="DC819" s="93"/>
      <c r="DD819" s="93"/>
      <c r="DE819" s="93"/>
      <c r="DF819" s="93"/>
      <c r="DG819" s="93"/>
      <c r="DH819" s="93"/>
      <c r="DI819" s="93"/>
      <c r="DJ819" s="93"/>
      <c r="DK819" s="93"/>
      <c r="DL819" s="93"/>
      <c r="DM819" s="93"/>
      <c r="DN819" s="93"/>
      <c r="DO819" s="93"/>
      <c r="DP819" s="93"/>
      <c r="DQ819" s="93"/>
      <c r="DR819" s="93"/>
      <c r="DS819" s="93"/>
      <c r="DT819" s="93"/>
      <c r="DU819" s="93"/>
      <c r="DV819" s="93"/>
      <c r="DW819" s="93"/>
      <c r="DX819" s="93"/>
      <c r="DY819" s="93"/>
      <c r="DZ819" s="93"/>
      <c r="EA819" s="93"/>
      <c r="EB819" s="93"/>
      <c r="EC819" s="93"/>
      <c r="ED819" s="93"/>
      <c r="EE819" s="93"/>
      <c r="EF819" s="93"/>
      <c r="EG819" s="93"/>
      <c r="EH819" s="93"/>
      <c r="EI819" s="93"/>
      <c r="EJ819" s="93"/>
      <c r="EK819" s="93"/>
      <c r="EL819" s="93"/>
      <c r="EM819" s="93"/>
      <c r="EN819" s="93"/>
      <c r="EO819" s="93"/>
      <c r="EP819" s="93"/>
      <c r="EQ819" s="93"/>
      <c r="ER819" s="93"/>
      <c r="ES819" s="93"/>
      <c r="ET819" s="93"/>
      <c r="EU819" s="93"/>
      <c r="EV819" s="93"/>
      <c r="EW819" s="93"/>
      <c r="EX819" s="93"/>
      <c r="EY819" s="93"/>
      <c r="EZ819" s="93"/>
      <c r="FA819" s="93"/>
      <c r="FB819" s="93"/>
      <c r="FC819" s="93"/>
      <c r="FD819" s="93"/>
      <c r="FE819" s="93"/>
      <c r="FF819" s="93"/>
    </row>
    <row r="820" spans="1:162" ht="15.75" customHeight="1">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c r="CM820" s="93"/>
      <c r="CN820" s="93"/>
      <c r="CO820" s="93"/>
      <c r="CP820" s="93"/>
      <c r="CQ820" s="93"/>
      <c r="CR820" s="93"/>
      <c r="CS820" s="93"/>
      <c r="CT820" s="93"/>
      <c r="CU820" s="93"/>
      <c r="CV820" s="93"/>
      <c r="CW820" s="93"/>
      <c r="CX820" s="93"/>
      <c r="CY820" s="93"/>
      <c r="CZ820" s="93"/>
      <c r="DA820" s="93"/>
      <c r="DB820" s="93"/>
      <c r="DC820" s="93"/>
      <c r="DD820" s="93"/>
      <c r="DE820" s="93"/>
      <c r="DF820" s="93"/>
      <c r="DG820" s="93"/>
      <c r="DH820" s="93"/>
      <c r="DI820" s="93"/>
      <c r="DJ820" s="93"/>
      <c r="DK820" s="93"/>
      <c r="DL820" s="93"/>
      <c r="DM820" s="93"/>
      <c r="DN820" s="93"/>
      <c r="DO820" s="93"/>
      <c r="DP820" s="93"/>
      <c r="DQ820" s="93"/>
      <c r="DR820" s="93"/>
      <c r="DS820" s="93"/>
      <c r="DT820" s="93"/>
      <c r="DU820" s="93"/>
      <c r="DV820" s="93"/>
      <c r="DW820" s="93"/>
      <c r="DX820" s="93"/>
      <c r="DY820" s="93"/>
      <c r="DZ820" s="93"/>
      <c r="EA820" s="93"/>
      <c r="EB820" s="93"/>
      <c r="EC820" s="93"/>
      <c r="ED820" s="93"/>
      <c r="EE820" s="93"/>
      <c r="EF820" s="93"/>
      <c r="EG820" s="93"/>
      <c r="EH820" s="93"/>
      <c r="EI820" s="93"/>
      <c r="EJ820" s="93"/>
      <c r="EK820" s="93"/>
      <c r="EL820" s="93"/>
      <c r="EM820" s="93"/>
      <c r="EN820" s="93"/>
      <c r="EO820" s="93"/>
      <c r="EP820" s="93"/>
      <c r="EQ820" s="93"/>
      <c r="ER820" s="93"/>
      <c r="ES820" s="93"/>
      <c r="ET820" s="93"/>
      <c r="EU820" s="93"/>
      <c r="EV820" s="93"/>
      <c r="EW820" s="93"/>
      <c r="EX820" s="93"/>
      <c r="EY820" s="93"/>
      <c r="EZ820" s="93"/>
      <c r="FA820" s="93"/>
      <c r="FB820" s="93"/>
      <c r="FC820" s="93"/>
      <c r="FD820" s="93"/>
      <c r="FE820" s="93"/>
      <c r="FF820" s="93"/>
    </row>
    <row r="821" spans="1:162" ht="15.75" customHeight="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c r="CW821" s="93"/>
      <c r="CX821" s="93"/>
      <c r="CY821" s="93"/>
      <c r="CZ821" s="93"/>
      <c r="DA821" s="93"/>
      <c r="DB821" s="93"/>
      <c r="DC821" s="93"/>
      <c r="DD821" s="93"/>
      <c r="DE821" s="93"/>
      <c r="DF821" s="93"/>
      <c r="DG821" s="93"/>
      <c r="DH821" s="93"/>
      <c r="DI821" s="93"/>
      <c r="DJ821" s="93"/>
      <c r="DK821" s="93"/>
      <c r="DL821" s="93"/>
      <c r="DM821" s="93"/>
      <c r="DN821" s="93"/>
      <c r="DO821" s="93"/>
      <c r="DP821" s="93"/>
      <c r="DQ821" s="93"/>
      <c r="DR821" s="93"/>
      <c r="DS821" s="93"/>
      <c r="DT821" s="93"/>
      <c r="DU821" s="93"/>
      <c r="DV821" s="93"/>
      <c r="DW821" s="93"/>
      <c r="DX821" s="93"/>
      <c r="DY821" s="93"/>
      <c r="DZ821" s="93"/>
      <c r="EA821" s="93"/>
      <c r="EB821" s="93"/>
      <c r="EC821" s="93"/>
      <c r="ED821" s="93"/>
      <c r="EE821" s="93"/>
      <c r="EF821" s="93"/>
      <c r="EG821" s="93"/>
      <c r="EH821" s="93"/>
      <c r="EI821" s="93"/>
      <c r="EJ821" s="93"/>
      <c r="EK821" s="93"/>
      <c r="EL821" s="93"/>
      <c r="EM821" s="93"/>
      <c r="EN821" s="93"/>
      <c r="EO821" s="93"/>
      <c r="EP821" s="93"/>
      <c r="EQ821" s="93"/>
      <c r="ER821" s="93"/>
      <c r="ES821" s="93"/>
      <c r="ET821" s="93"/>
      <c r="EU821" s="93"/>
      <c r="EV821" s="93"/>
      <c r="EW821" s="93"/>
      <c r="EX821" s="93"/>
      <c r="EY821" s="93"/>
      <c r="EZ821" s="93"/>
      <c r="FA821" s="93"/>
      <c r="FB821" s="93"/>
      <c r="FC821" s="93"/>
      <c r="FD821" s="93"/>
      <c r="FE821" s="93"/>
      <c r="FF821" s="93"/>
    </row>
    <row r="822" spans="1:162" ht="15.75" customHeight="1">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c r="CM822" s="93"/>
      <c r="CN822" s="93"/>
      <c r="CO822" s="93"/>
      <c r="CP822" s="93"/>
      <c r="CQ822" s="93"/>
      <c r="CR822" s="93"/>
      <c r="CS822" s="93"/>
      <c r="CT822" s="93"/>
      <c r="CU822" s="93"/>
      <c r="CV822" s="93"/>
      <c r="CW822" s="93"/>
      <c r="CX822" s="93"/>
      <c r="CY822" s="93"/>
      <c r="CZ822" s="93"/>
      <c r="DA822" s="93"/>
      <c r="DB822" s="93"/>
      <c r="DC822" s="93"/>
      <c r="DD822" s="93"/>
      <c r="DE822" s="93"/>
      <c r="DF822" s="93"/>
      <c r="DG822" s="93"/>
      <c r="DH822" s="93"/>
      <c r="DI822" s="93"/>
      <c r="DJ822" s="93"/>
      <c r="DK822" s="93"/>
      <c r="DL822" s="93"/>
      <c r="DM822" s="93"/>
      <c r="DN822" s="93"/>
      <c r="DO822" s="93"/>
      <c r="DP822" s="93"/>
      <c r="DQ822" s="93"/>
      <c r="DR822" s="93"/>
      <c r="DS822" s="93"/>
      <c r="DT822" s="93"/>
      <c r="DU822" s="93"/>
      <c r="DV822" s="93"/>
      <c r="DW822" s="93"/>
      <c r="DX822" s="93"/>
      <c r="DY822" s="93"/>
      <c r="DZ822" s="93"/>
      <c r="EA822" s="93"/>
      <c r="EB822" s="93"/>
      <c r="EC822" s="93"/>
      <c r="ED822" s="93"/>
      <c r="EE822" s="93"/>
      <c r="EF822" s="93"/>
      <c r="EG822" s="93"/>
      <c r="EH822" s="93"/>
      <c r="EI822" s="93"/>
      <c r="EJ822" s="93"/>
      <c r="EK822" s="93"/>
      <c r="EL822" s="93"/>
      <c r="EM822" s="93"/>
      <c r="EN822" s="93"/>
      <c r="EO822" s="93"/>
      <c r="EP822" s="93"/>
      <c r="EQ822" s="93"/>
      <c r="ER822" s="93"/>
      <c r="ES822" s="93"/>
      <c r="ET822" s="93"/>
      <c r="EU822" s="93"/>
      <c r="EV822" s="93"/>
      <c r="EW822" s="93"/>
      <c r="EX822" s="93"/>
      <c r="EY822" s="93"/>
      <c r="EZ822" s="93"/>
      <c r="FA822" s="93"/>
      <c r="FB822" s="93"/>
      <c r="FC822" s="93"/>
      <c r="FD822" s="93"/>
      <c r="FE822" s="93"/>
      <c r="FF822" s="93"/>
    </row>
    <row r="823" spans="1:162" ht="15.75" customHeight="1">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c r="CM823" s="93"/>
      <c r="CN823" s="93"/>
      <c r="CO823" s="93"/>
      <c r="CP823" s="93"/>
      <c r="CQ823" s="93"/>
      <c r="CR823" s="93"/>
      <c r="CS823" s="93"/>
      <c r="CT823" s="93"/>
      <c r="CU823" s="93"/>
      <c r="CV823" s="93"/>
      <c r="CW823" s="93"/>
      <c r="CX823" s="93"/>
      <c r="CY823" s="93"/>
      <c r="CZ823" s="93"/>
      <c r="DA823" s="93"/>
      <c r="DB823" s="93"/>
      <c r="DC823" s="93"/>
      <c r="DD823" s="93"/>
      <c r="DE823" s="93"/>
      <c r="DF823" s="93"/>
      <c r="DG823" s="93"/>
      <c r="DH823" s="93"/>
      <c r="DI823" s="93"/>
      <c r="DJ823" s="93"/>
      <c r="DK823" s="93"/>
      <c r="DL823" s="93"/>
      <c r="DM823" s="93"/>
      <c r="DN823" s="93"/>
      <c r="DO823" s="93"/>
      <c r="DP823" s="93"/>
      <c r="DQ823" s="93"/>
      <c r="DR823" s="93"/>
      <c r="DS823" s="93"/>
      <c r="DT823" s="93"/>
      <c r="DU823" s="93"/>
      <c r="DV823" s="93"/>
      <c r="DW823" s="93"/>
      <c r="DX823" s="93"/>
      <c r="DY823" s="93"/>
      <c r="DZ823" s="93"/>
      <c r="EA823" s="93"/>
      <c r="EB823" s="93"/>
      <c r="EC823" s="93"/>
      <c r="ED823" s="93"/>
      <c r="EE823" s="93"/>
      <c r="EF823" s="93"/>
      <c r="EG823" s="93"/>
      <c r="EH823" s="93"/>
      <c r="EI823" s="93"/>
      <c r="EJ823" s="93"/>
      <c r="EK823" s="93"/>
      <c r="EL823" s="93"/>
      <c r="EM823" s="93"/>
      <c r="EN823" s="93"/>
      <c r="EO823" s="93"/>
      <c r="EP823" s="93"/>
      <c r="EQ823" s="93"/>
      <c r="ER823" s="93"/>
      <c r="ES823" s="93"/>
      <c r="ET823" s="93"/>
      <c r="EU823" s="93"/>
      <c r="EV823" s="93"/>
      <c r="EW823" s="93"/>
      <c r="EX823" s="93"/>
      <c r="EY823" s="93"/>
      <c r="EZ823" s="93"/>
      <c r="FA823" s="93"/>
      <c r="FB823" s="93"/>
      <c r="FC823" s="93"/>
      <c r="FD823" s="93"/>
      <c r="FE823" s="93"/>
      <c r="FF823" s="93"/>
    </row>
    <row r="824" spans="1:162" ht="15.75" customHeight="1">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c r="CM824" s="93"/>
      <c r="CN824" s="93"/>
      <c r="CO824" s="93"/>
      <c r="CP824" s="93"/>
      <c r="CQ824" s="93"/>
      <c r="CR824" s="93"/>
      <c r="CS824" s="93"/>
      <c r="CT824" s="93"/>
      <c r="CU824" s="93"/>
      <c r="CV824" s="93"/>
      <c r="CW824" s="93"/>
      <c r="CX824" s="93"/>
      <c r="CY824" s="93"/>
      <c r="CZ824" s="93"/>
      <c r="DA824" s="93"/>
      <c r="DB824" s="93"/>
      <c r="DC824" s="93"/>
      <c r="DD824" s="93"/>
      <c r="DE824" s="93"/>
      <c r="DF824" s="93"/>
      <c r="DG824" s="93"/>
      <c r="DH824" s="93"/>
      <c r="DI824" s="93"/>
      <c r="DJ824" s="93"/>
      <c r="DK824" s="93"/>
      <c r="DL824" s="93"/>
      <c r="DM824" s="93"/>
      <c r="DN824" s="93"/>
      <c r="DO824" s="93"/>
      <c r="DP824" s="93"/>
      <c r="DQ824" s="93"/>
      <c r="DR824" s="93"/>
      <c r="DS824" s="93"/>
      <c r="DT824" s="93"/>
      <c r="DU824" s="93"/>
      <c r="DV824" s="93"/>
      <c r="DW824" s="93"/>
      <c r="DX824" s="93"/>
      <c r="DY824" s="93"/>
      <c r="DZ824" s="93"/>
      <c r="EA824" s="93"/>
      <c r="EB824" s="93"/>
      <c r="EC824" s="93"/>
      <c r="ED824" s="93"/>
      <c r="EE824" s="93"/>
      <c r="EF824" s="93"/>
      <c r="EG824" s="93"/>
      <c r="EH824" s="93"/>
      <c r="EI824" s="93"/>
      <c r="EJ824" s="93"/>
      <c r="EK824" s="93"/>
      <c r="EL824" s="93"/>
      <c r="EM824" s="93"/>
      <c r="EN824" s="93"/>
      <c r="EO824" s="93"/>
      <c r="EP824" s="93"/>
      <c r="EQ824" s="93"/>
      <c r="ER824" s="93"/>
      <c r="ES824" s="93"/>
      <c r="ET824" s="93"/>
      <c r="EU824" s="93"/>
      <c r="EV824" s="93"/>
      <c r="EW824" s="93"/>
      <c r="EX824" s="93"/>
      <c r="EY824" s="93"/>
      <c r="EZ824" s="93"/>
      <c r="FA824" s="93"/>
      <c r="FB824" s="93"/>
      <c r="FC824" s="93"/>
      <c r="FD824" s="93"/>
      <c r="FE824" s="93"/>
      <c r="FF824" s="93"/>
    </row>
    <row r="825" spans="1:162" ht="15.75" customHeight="1">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93"/>
      <c r="DJ825" s="93"/>
      <c r="DK825" s="93"/>
      <c r="DL825" s="93"/>
      <c r="DM825" s="93"/>
      <c r="DN825" s="93"/>
      <c r="DO825" s="93"/>
      <c r="DP825" s="93"/>
      <c r="DQ825" s="93"/>
      <c r="DR825" s="93"/>
      <c r="DS825" s="93"/>
      <c r="DT825" s="93"/>
      <c r="DU825" s="93"/>
      <c r="DV825" s="93"/>
      <c r="DW825" s="93"/>
      <c r="DX825" s="93"/>
      <c r="DY825" s="93"/>
      <c r="DZ825" s="93"/>
      <c r="EA825" s="93"/>
      <c r="EB825" s="93"/>
      <c r="EC825" s="93"/>
      <c r="ED825" s="93"/>
      <c r="EE825" s="93"/>
      <c r="EF825" s="93"/>
      <c r="EG825" s="93"/>
      <c r="EH825" s="93"/>
      <c r="EI825" s="93"/>
      <c r="EJ825" s="93"/>
      <c r="EK825" s="93"/>
      <c r="EL825" s="93"/>
      <c r="EM825" s="93"/>
      <c r="EN825" s="93"/>
      <c r="EO825" s="93"/>
      <c r="EP825" s="93"/>
      <c r="EQ825" s="93"/>
      <c r="ER825" s="93"/>
      <c r="ES825" s="93"/>
      <c r="ET825" s="93"/>
      <c r="EU825" s="93"/>
      <c r="EV825" s="93"/>
      <c r="EW825" s="93"/>
      <c r="EX825" s="93"/>
      <c r="EY825" s="93"/>
      <c r="EZ825" s="93"/>
      <c r="FA825" s="93"/>
      <c r="FB825" s="93"/>
      <c r="FC825" s="93"/>
      <c r="FD825" s="93"/>
      <c r="FE825" s="93"/>
      <c r="FF825" s="93"/>
    </row>
    <row r="826" spans="1:162" ht="15.75" customHeight="1">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c r="CM826" s="93"/>
      <c r="CN826" s="93"/>
      <c r="CO826" s="93"/>
      <c r="CP826" s="93"/>
      <c r="CQ826" s="93"/>
      <c r="CR826" s="93"/>
      <c r="CS826" s="93"/>
      <c r="CT826" s="93"/>
      <c r="CU826" s="93"/>
      <c r="CV826" s="93"/>
      <c r="CW826" s="93"/>
      <c r="CX826" s="93"/>
      <c r="CY826" s="93"/>
      <c r="CZ826" s="93"/>
      <c r="DA826" s="93"/>
      <c r="DB826" s="93"/>
      <c r="DC826" s="93"/>
      <c r="DD826" s="93"/>
      <c r="DE826" s="93"/>
      <c r="DF826" s="93"/>
      <c r="DG826" s="93"/>
      <c r="DH826" s="93"/>
      <c r="DI826" s="93"/>
      <c r="DJ826" s="93"/>
      <c r="DK826" s="93"/>
      <c r="DL826" s="93"/>
      <c r="DM826" s="93"/>
      <c r="DN826" s="93"/>
      <c r="DO826" s="93"/>
      <c r="DP826" s="93"/>
      <c r="DQ826" s="93"/>
      <c r="DR826" s="93"/>
      <c r="DS826" s="93"/>
      <c r="DT826" s="93"/>
      <c r="DU826" s="93"/>
      <c r="DV826" s="93"/>
      <c r="DW826" s="93"/>
      <c r="DX826" s="93"/>
      <c r="DY826" s="93"/>
      <c r="DZ826" s="93"/>
      <c r="EA826" s="93"/>
      <c r="EB826" s="93"/>
      <c r="EC826" s="93"/>
      <c r="ED826" s="93"/>
      <c r="EE826" s="93"/>
      <c r="EF826" s="93"/>
      <c r="EG826" s="93"/>
      <c r="EH826" s="93"/>
      <c r="EI826" s="93"/>
      <c r="EJ826" s="93"/>
      <c r="EK826" s="93"/>
      <c r="EL826" s="93"/>
      <c r="EM826" s="93"/>
      <c r="EN826" s="93"/>
      <c r="EO826" s="93"/>
      <c r="EP826" s="93"/>
      <c r="EQ826" s="93"/>
      <c r="ER826" s="93"/>
      <c r="ES826" s="93"/>
      <c r="ET826" s="93"/>
      <c r="EU826" s="93"/>
      <c r="EV826" s="93"/>
      <c r="EW826" s="93"/>
      <c r="EX826" s="93"/>
      <c r="EY826" s="93"/>
      <c r="EZ826" s="93"/>
      <c r="FA826" s="93"/>
      <c r="FB826" s="93"/>
      <c r="FC826" s="93"/>
      <c r="FD826" s="93"/>
      <c r="FE826" s="93"/>
      <c r="FF826" s="93"/>
    </row>
    <row r="827" spans="1:162" ht="15.75" customHeight="1">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c r="CM827" s="93"/>
      <c r="CN827" s="93"/>
      <c r="CO827" s="93"/>
      <c r="CP827" s="93"/>
      <c r="CQ827" s="93"/>
      <c r="CR827" s="93"/>
      <c r="CS827" s="93"/>
      <c r="CT827" s="93"/>
      <c r="CU827" s="93"/>
      <c r="CV827" s="93"/>
      <c r="CW827" s="93"/>
      <c r="CX827" s="93"/>
      <c r="CY827" s="93"/>
      <c r="CZ827" s="93"/>
      <c r="DA827" s="93"/>
      <c r="DB827" s="93"/>
      <c r="DC827" s="93"/>
      <c r="DD827" s="93"/>
      <c r="DE827" s="93"/>
      <c r="DF827" s="93"/>
      <c r="DG827" s="93"/>
      <c r="DH827" s="93"/>
      <c r="DI827" s="93"/>
      <c r="DJ827" s="93"/>
      <c r="DK827" s="93"/>
      <c r="DL827" s="93"/>
      <c r="DM827" s="93"/>
      <c r="DN827" s="93"/>
      <c r="DO827" s="93"/>
      <c r="DP827" s="93"/>
      <c r="DQ827" s="93"/>
      <c r="DR827" s="93"/>
      <c r="DS827" s="93"/>
      <c r="DT827" s="93"/>
      <c r="DU827" s="93"/>
      <c r="DV827" s="93"/>
      <c r="DW827" s="93"/>
      <c r="DX827" s="93"/>
      <c r="DY827" s="93"/>
      <c r="DZ827" s="93"/>
      <c r="EA827" s="93"/>
      <c r="EB827" s="93"/>
      <c r="EC827" s="93"/>
      <c r="ED827" s="93"/>
      <c r="EE827" s="93"/>
      <c r="EF827" s="93"/>
      <c r="EG827" s="93"/>
      <c r="EH827" s="93"/>
      <c r="EI827" s="93"/>
      <c r="EJ827" s="93"/>
      <c r="EK827" s="93"/>
      <c r="EL827" s="93"/>
      <c r="EM827" s="93"/>
      <c r="EN827" s="93"/>
      <c r="EO827" s="93"/>
      <c r="EP827" s="93"/>
      <c r="EQ827" s="93"/>
      <c r="ER827" s="93"/>
      <c r="ES827" s="93"/>
      <c r="ET827" s="93"/>
      <c r="EU827" s="93"/>
      <c r="EV827" s="93"/>
      <c r="EW827" s="93"/>
      <c r="EX827" s="93"/>
      <c r="EY827" s="93"/>
      <c r="EZ827" s="93"/>
      <c r="FA827" s="93"/>
      <c r="FB827" s="93"/>
      <c r="FC827" s="93"/>
      <c r="FD827" s="93"/>
      <c r="FE827" s="93"/>
      <c r="FF827" s="93"/>
    </row>
    <row r="828" spans="1:162" ht="15.75" customHeight="1">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c r="CM828" s="93"/>
      <c r="CN828" s="93"/>
      <c r="CO828" s="93"/>
      <c r="CP828" s="93"/>
      <c r="CQ828" s="93"/>
      <c r="CR828" s="93"/>
      <c r="CS828" s="93"/>
      <c r="CT828" s="93"/>
      <c r="CU828" s="93"/>
      <c r="CV828" s="93"/>
      <c r="CW828" s="93"/>
      <c r="CX828" s="93"/>
      <c r="CY828" s="93"/>
      <c r="CZ828" s="93"/>
      <c r="DA828" s="93"/>
      <c r="DB828" s="93"/>
      <c r="DC828" s="93"/>
      <c r="DD828" s="93"/>
      <c r="DE828" s="93"/>
      <c r="DF828" s="93"/>
      <c r="DG828" s="93"/>
      <c r="DH828" s="93"/>
      <c r="DI828" s="93"/>
      <c r="DJ828" s="93"/>
      <c r="DK828" s="93"/>
      <c r="DL828" s="93"/>
      <c r="DM828" s="93"/>
      <c r="DN828" s="93"/>
      <c r="DO828" s="93"/>
      <c r="DP828" s="93"/>
      <c r="DQ828" s="93"/>
      <c r="DR828" s="93"/>
      <c r="DS828" s="93"/>
      <c r="DT828" s="93"/>
      <c r="DU828" s="93"/>
      <c r="DV828" s="93"/>
      <c r="DW828" s="93"/>
      <c r="DX828" s="93"/>
      <c r="DY828" s="93"/>
      <c r="DZ828" s="93"/>
      <c r="EA828" s="93"/>
      <c r="EB828" s="93"/>
      <c r="EC828" s="93"/>
      <c r="ED828" s="93"/>
      <c r="EE828" s="93"/>
      <c r="EF828" s="93"/>
      <c r="EG828" s="93"/>
      <c r="EH828" s="93"/>
      <c r="EI828" s="93"/>
      <c r="EJ828" s="93"/>
      <c r="EK828" s="93"/>
      <c r="EL828" s="93"/>
      <c r="EM828" s="93"/>
      <c r="EN828" s="93"/>
      <c r="EO828" s="93"/>
      <c r="EP828" s="93"/>
      <c r="EQ828" s="93"/>
      <c r="ER828" s="93"/>
      <c r="ES828" s="93"/>
      <c r="ET828" s="93"/>
      <c r="EU828" s="93"/>
      <c r="EV828" s="93"/>
      <c r="EW828" s="93"/>
      <c r="EX828" s="93"/>
      <c r="EY828" s="93"/>
      <c r="EZ828" s="93"/>
      <c r="FA828" s="93"/>
      <c r="FB828" s="93"/>
      <c r="FC828" s="93"/>
      <c r="FD828" s="93"/>
      <c r="FE828" s="93"/>
      <c r="FF828" s="93"/>
    </row>
    <row r="829" spans="1:162" ht="15.75" customHeight="1">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c r="CM829" s="93"/>
      <c r="CN829" s="93"/>
      <c r="CO829" s="93"/>
      <c r="CP829" s="93"/>
      <c r="CQ829" s="93"/>
      <c r="CR829" s="93"/>
      <c r="CS829" s="93"/>
      <c r="CT829" s="93"/>
      <c r="CU829" s="93"/>
      <c r="CV829" s="93"/>
      <c r="CW829" s="93"/>
      <c r="CX829" s="93"/>
      <c r="CY829" s="93"/>
      <c r="CZ829" s="93"/>
      <c r="DA829" s="93"/>
      <c r="DB829" s="93"/>
      <c r="DC829" s="93"/>
      <c r="DD829" s="93"/>
      <c r="DE829" s="93"/>
      <c r="DF829" s="93"/>
      <c r="DG829" s="93"/>
      <c r="DH829" s="93"/>
      <c r="DI829" s="93"/>
      <c r="DJ829" s="93"/>
      <c r="DK829" s="93"/>
      <c r="DL829" s="93"/>
      <c r="DM829" s="93"/>
      <c r="DN829" s="93"/>
      <c r="DO829" s="93"/>
      <c r="DP829" s="93"/>
      <c r="DQ829" s="93"/>
      <c r="DR829" s="93"/>
      <c r="DS829" s="93"/>
      <c r="DT829" s="93"/>
      <c r="DU829" s="93"/>
      <c r="DV829" s="93"/>
      <c r="DW829" s="93"/>
      <c r="DX829" s="93"/>
      <c r="DY829" s="93"/>
      <c r="DZ829" s="93"/>
      <c r="EA829" s="93"/>
      <c r="EB829" s="93"/>
      <c r="EC829" s="93"/>
      <c r="ED829" s="93"/>
      <c r="EE829" s="93"/>
      <c r="EF829" s="93"/>
      <c r="EG829" s="93"/>
      <c r="EH829" s="93"/>
      <c r="EI829" s="93"/>
      <c r="EJ829" s="93"/>
      <c r="EK829" s="93"/>
      <c r="EL829" s="93"/>
      <c r="EM829" s="93"/>
      <c r="EN829" s="93"/>
      <c r="EO829" s="93"/>
      <c r="EP829" s="93"/>
      <c r="EQ829" s="93"/>
      <c r="ER829" s="93"/>
      <c r="ES829" s="93"/>
      <c r="ET829" s="93"/>
      <c r="EU829" s="93"/>
      <c r="EV829" s="93"/>
      <c r="EW829" s="93"/>
      <c r="EX829" s="93"/>
      <c r="EY829" s="93"/>
      <c r="EZ829" s="93"/>
      <c r="FA829" s="93"/>
      <c r="FB829" s="93"/>
      <c r="FC829" s="93"/>
      <c r="FD829" s="93"/>
      <c r="FE829" s="93"/>
      <c r="FF829" s="93"/>
    </row>
    <row r="830" spans="1:162" ht="15.75" customHeight="1">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c r="CM830" s="93"/>
      <c r="CN830" s="93"/>
      <c r="CO830" s="93"/>
      <c r="CP830" s="93"/>
      <c r="CQ830" s="93"/>
      <c r="CR830" s="93"/>
      <c r="CS830" s="93"/>
      <c r="CT830" s="93"/>
      <c r="CU830" s="93"/>
      <c r="CV830" s="93"/>
      <c r="CW830" s="93"/>
      <c r="CX830" s="93"/>
      <c r="CY830" s="93"/>
      <c r="CZ830" s="93"/>
      <c r="DA830" s="93"/>
      <c r="DB830" s="93"/>
      <c r="DC830" s="93"/>
      <c r="DD830" s="93"/>
      <c r="DE830" s="93"/>
      <c r="DF830" s="93"/>
      <c r="DG830" s="93"/>
      <c r="DH830" s="93"/>
      <c r="DI830" s="93"/>
      <c r="DJ830" s="93"/>
      <c r="DK830" s="93"/>
      <c r="DL830" s="93"/>
      <c r="DM830" s="93"/>
      <c r="DN830" s="93"/>
      <c r="DO830" s="93"/>
      <c r="DP830" s="93"/>
      <c r="DQ830" s="93"/>
      <c r="DR830" s="93"/>
      <c r="DS830" s="93"/>
      <c r="DT830" s="93"/>
      <c r="DU830" s="93"/>
      <c r="DV830" s="93"/>
      <c r="DW830" s="93"/>
      <c r="DX830" s="93"/>
      <c r="DY830" s="93"/>
      <c r="DZ830" s="93"/>
      <c r="EA830" s="93"/>
      <c r="EB830" s="93"/>
      <c r="EC830" s="93"/>
      <c r="ED830" s="93"/>
      <c r="EE830" s="93"/>
      <c r="EF830" s="93"/>
      <c r="EG830" s="93"/>
      <c r="EH830" s="93"/>
      <c r="EI830" s="93"/>
      <c r="EJ830" s="93"/>
      <c r="EK830" s="93"/>
      <c r="EL830" s="93"/>
      <c r="EM830" s="93"/>
      <c r="EN830" s="93"/>
      <c r="EO830" s="93"/>
      <c r="EP830" s="93"/>
      <c r="EQ830" s="93"/>
      <c r="ER830" s="93"/>
      <c r="ES830" s="93"/>
      <c r="ET830" s="93"/>
      <c r="EU830" s="93"/>
      <c r="EV830" s="93"/>
      <c r="EW830" s="93"/>
      <c r="EX830" s="93"/>
      <c r="EY830" s="93"/>
      <c r="EZ830" s="93"/>
      <c r="FA830" s="93"/>
      <c r="FB830" s="93"/>
      <c r="FC830" s="93"/>
      <c r="FD830" s="93"/>
      <c r="FE830" s="93"/>
      <c r="FF830" s="93"/>
    </row>
    <row r="831" spans="1:162" ht="15.75" customHeight="1">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c r="CM831" s="93"/>
      <c r="CN831" s="93"/>
      <c r="CO831" s="93"/>
      <c r="CP831" s="93"/>
      <c r="CQ831" s="93"/>
      <c r="CR831" s="93"/>
      <c r="CS831" s="93"/>
      <c r="CT831" s="93"/>
      <c r="CU831" s="93"/>
      <c r="CV831" s="93"/>
      <c r="CW831" s="93"/>
      <c r="CX831" s="93"/>
      <c r="CY831" s="93"/>
      <c r="CZ831" s="93"/>
      <c r="DA831" s="93"/>
      <c r="DB831" s="93"/>
      <c r="DC831" s="93"/>
      <c r="DD831" s="93"/>
      <c r="DE831" s="93"/>
      <c r="DF831" s="93"/>
      <c r="DG831" s="93"/>
      <c r="DH831" s="93"/>
      <c r="DI831" s="93"/>
      <c r="DJ831" s="93"/>
      <c r="DK831" s="93"/>
      <c r="DL831" s="93"/>
      <c r="DM831" s="93"/>
      <c r="DN831" s="93"/>
      <c r="DO831" s="93"/>
      <c r="DP831" s="93"/>
      <c r="DQ831" s="93"/>
      <c r="DR831" s="93"/>
      <c r="DS831" s="93"/>
      <c r="DT831" s="93"/>
      <c r="DU831" s="93"/>
      <c r="DV831" s="93"/>
      <c r="DW831" s="93"/>
      <c r="DX831" s="93"/>
      <c r="DY831" s="93"/>
      <c r="DZ831" s="93"/>
      <c r="EA831" s="93"/>
      <c r="EB831" s="93"/>
      <c r="EC831" s="93"/>
      <c r="ED831" s="93"/>
      <c r="EE831" s="93"/>
      <c r="EF831" s="93"/>
      <c r="EG831" s="93"/>
      <c r="EH831" s="93"/>
      <c r="EI831" s="93"/>
      <c r="EJ831" s="93"/>
      <c r="EK831" s="93"/>
      <c r="EL831" s="93"/>
      <c r="EM831" s="93"/>
      <c r="EN831" s="93"/>
      <c r="EO831" s="93"/>
      <c r="EP831" s="93"/>
      <c r="EQ831" s="93"/>
      <c r="ER831" s="93"/>
      <c r="ES831" s="93"/>
      <c r="ET831" s="93"/>
      <c r="EU831" s="93"/>
      <c r="EV831" s="93"/>
      <c r="EW831" s="93"/>
      <c r="EX831" s="93"/>
      <c r="EY831" s="93"/>
      <c r="EZ831" s="93"/>
      <c r="FA831" s="93"/>
      <c r="FB831" s="93"/>
      <c r="FC831" s="93"/>
      <c r="FD831" s="93"/>
      <c r="FE831" s="93"/>
      <c r="FF831" s="93"/>
    </row>
    <row r="832" spans="1:162" ht="15.75" customHeight="1">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c r="CM832" s="93"/>
      <c r="CN832" s="93"/>
      <c r="CO832" s="93"/>
      <c r="CP832" s="93"/>
      <c r="CQ832" s="93"/>
      <c r="CR832" s="93"/>
      <c r="CS832" s="93"/>
      <c r="CT832" s="93"/>
      <c r="CU832" s="93"/>
      <c r="CV832" s="93"/>
      <c r="CW832" s="93"/>
      <c r="CX832" s="93"/>
      <c r="CY832" s="93"/>
      <c r="CZ832" s="93"/>
      <c r="DA832" s="93"/>
      <c r="DB832" s="93"/>
      <c r="DC832" s="93"/>
      <c r="DD832" s="93"/>
      <c r="DE832" s="93"/>
      <c r="DF832" s="93"/>
      <c r="DG832" s="93"/>
      <c r="DH832" s="93"/>
      <c r="DI832" s="93"/>
      <c r="DJ832" s="93"/>
      <c r="DK832" s="93"/>
      <c r="DL832" s="93"/>
      <c r="DM832" s="93"/>
      <c r="DN832" s="93"/>
      <c r="DO832" s="93"/>
      <c r="DP832" s="93"/>
      <c r="DQ832" s="93"/>
      <c r="DR832" s="93"/>
      <c r="DS832" s="93"/>
      <c r="DT832" s="93"/>
      <c r="DU832" s="93"/>
      <c r="DV832" s="93"/>
      <c r="DW832" s="93"/>
      <c r="DX832" s="93"/>
      <c r="DY832" s="93"/>
      <c r="DZ832" s="93"/>
      <c r="EA832" s="93"/>
      <c r="EB832" s="93"/>
      <c r="EC832" s="93"/>
      <c r="ED832" s="93"/>
      <c r="EE832" s="93"/>
      <c r="EF832" s="93"/>
      <c r="EG832" s="93"/>
      <c r="EH832" s="93"/>
      <c r="EI832" s="93"/>
      <c r="EJ832" s="93"/>
      <c r="EK832" s="93"/>
      <c r="EL832" s="93"/>
      <c r="EM832" s="93"/>
      <c r="EN832" s="93"/>
      <c r="EO832" s="93"/>
      <c r="EP832" s="93"/>
      <c r="EQ832" s="93"/>
      <c r="ER832" s="93"/>
      <c r="ES832" s="93"/>
      <c r="ET832" s="93"/>
      <c r="EU832" s="93"/>
      <c r="EV832" s="93"/>
      <c r="EW832" s="93"/>
      <c r="EX832" s="93"/>
      <c r="EY832" s="93"/>
      <c r="EZ832" s="93"/>
      <c r="FA832" s="93"/>
      <c r="FB832" s="93"/>
      <c r="FC832" s="93"/>
      <c r="FD832" s="93"/>
      <c r="FE832" s="93"/>
      <c r="FF832" s="93"/>
    </row>
    <row r="833" spans="1:162" ht="15.75" customHeight="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c r="CW833" s="93"/>
      <c r="CX833" s="93"/>
      <c r="CY833" s="93"/>
      <c r="CZ833" s="93"/>
      <c r="DA833" s="93"/>
      <c r="DB833" s="93"/>
      <c r="DC833" s="93"/>
      <c r="DD833" s="93"/>
      <c r="DE833" s="93"/>
      <c r="DF833" s="93"/>
      <c r="DG833" s="93"/>
      <c r="DH833" s="93"/>
      <c r="DI833" s="93"/>
      <c r="DJ833" s="93"/>
      <c r="DK833" s="93"/>
      <c r="DL833" s="93"/>
      <c r="DM833" s="93"/>
      <c r="DN833" s="93"/>
      <c r="DO833" s="93"/>
      <c r="DP833" s="93"/>
      <c r="DQ833" s="93"/>
      <c r="DR833" s="93"/>
      <c r="DS833" s="93"/>
      <c r="DT833" s="93"/>
      <c r="DU833" s="93"/>
      <c r="DV833" s="93"/>
      <c r="DW833" s="93"/>
      <c r="DX833" s="93"/>
      <c r="DY833" s="93"/>
      <c r="DZ833" s="93"/>
      <c r="EA833" s="93"/>
      <c r="EB833" s="93"/>
      <c r="EC833" s="93"/>
      <c r="ED833" s="93"/>
      <c r="EE833" s="93"/>
      <c r="EF833" s="93"/>
      <c r="EG833" s="93"/>
      <c r="EH833" s="93"/>
      <c r="EI833" s="93"/>
      <c r="EJ833" s="93"/>
      <c r="EK833" s="93"/>
      <c r="EL833" s="93"/>
      <c r="EM833" s="93"/>
      <c r="EN833" s="93"/>
      <c r="EO833" s="93"/>
      <c r="EP833" s="93"/>
      <c r="EQ833" s="93"/>
      <c r="ER833" s="93"/>
      <c r="ES833" s="93"/>
      <c r="ET833" s="93"/>
      <c r="EU833" s="93"/>
      <c r="EV833" s="93"/>
      <c r="EW833" s="93"/>
      <c r="EX833" s="93"/>
      <c r="EY833" s="93"/>
      <c r="EZ833" s="93"/>
      <c r="FA833" s="93"/>
      <c r="FB833" s="93"/>
      <c r="FC833" s="93"/>
      <c r="FD833" s="93"/>
      <c r="FE833" s="93"/>
      <c r="FF833" s="93"/>
    </row>
    <row r="834" spans="1:162" ht="15.75" customHeight="1">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c r="CM834" s="93"/>
      <c r="CN834" s="93"/>
      <c r="CO834" s="93"/>
      <c r="CP834" s="93"/>
      <c r="CQ834" s="93"/>
      <c r="CR834" s="93"/>
      <c r="CS834" s="93"/>
      <c r="CT834" s="93"/>
      <c r="CU834" s="93"/>
      <c r="CV834" s="93"/>
      <c r="CW834" s="93"/>
      <c r="CX834" s="93"/>
      <c r="CY834" s="93"/>
      <c r="CZ834" s="93"/>
      <c r="DA834" s="93"/>
      <c r="DB834" s="93"/>
      <c r="DC834" s="93"/>
      <c r="DD834" s="93"/>
      <c r="DE834" s="93"/>
      <c r="DF834" s="93"/>
      <c r="DG834" s="93"/>
      <c r="DH834" s="93"/>
      <c r="DI834" s="93"/>
      <c r="DJ834" s="93"/>
      <c r="DK834" s="93"/>
      <c r="DL834" s="93"/>
      <c r="DM834" s="93"/>
      <c r="DN834" s="93"/>
      <c r="DO834" s="93"/>
      <c r="DP834" s="93"/>
      <c r="DQ834" s="93"/>
      <c r="DR834" s="93"/>
      <c r="DS834" s="93"/>
      <c r="DT834" s="93"/>
      <c r="DU834" s="93"/>
      <c r="DV834" s="93"/>
      <c r="DW834" s="93"/>
      <c r="DX834" s="93"/>
      <c r="DY834" s="93"/>
      <c r="DZ834" s="93"/>
      <c r="EA834" s="93"/>
      <c r="EB834" s="93"/>
      <c r="EC834" s="93"/>
      <c r="ED834" s="93"/>
      <c r="EE834" s="93"/>
      <c r="EF834" s="93"/>
      <c r="EG834" s="93"/>
      <c r="EH834" s="93"/>
      <c r="EI834" s="93"/>
      <c r="EJ834" s="93"/>
      <c r="EK834" s="93"/>
      <c r="EL834" s="93"/>
      <c r="EM834" s="93"/>
      <c r="EN834" s="93"/>
      <c r="EO834" s="93"/>
      <c r="EP834" s="93"/>
      <c r="EQ834" s="93"/>
      <c r="ER834" s="93"/>
      <c r="ES834" s="93"/>
      <c r="ET834" s="93"/>
      <c r="EU834" s="93"/>
      <c r="EV834" s="93"/>
      <c r="EW834" s="93"/>
      <c r="EX834" s="93"/>
      <c r="EY834" s="93"/>
      <c r="EZ834" s="93"/>
      <c r="FA834" s="93"/>
      <c r="FB834" s="93"/>
      <c r="FC834" s="93"/>
      <c r="FD834" s="93"/>
      <c r="FE834" s="93"/>
      <c r="FF834" s="93"/>
    </row>
    <row r="835" spans="1:162" ht="15.75" customHeight="1">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c r="CM835" s="93"/>
      <c r="CN835" s="93"/>
      <c r="CO835" s="93"/>
      <c r="CP835" s="93"/>
      <c r="CQ835" s="93"/>
      <c r="CR835" s="93"/>
      <c r="CS835" s="93"/>
      <c r="CT835" s="93"/>
      <c r="CU835" s="93"/>
      <c r="CV835" s="93"/>
      <c r="CW835" s="93"/>
      <c r="CX835" s="93"/>
      <c r="CY835" s="93"/>
      <c r="CZ835" s="93"/>
      <c r="DA835" s="93"/>
      <c r="DB835" s="93"/>
      <c r="DC835" s="93"/>
      <c r="DD835" s="93"/>
      <c r="DE835" s="93"/>
      <c r="DF835" s="93"/>
      <c r="DG835" s="93"/>
      <c r="DH835" s="93"/>
      <c r="DI835" s="93"/>
      <c r="DJ835" s="93"/>
      <c r="DK835" s="93"/>
      <c r="DL835" s="93"/>
      <c r="DM835" s="93"/>
      <c r="DN835" s="93"/>
      <c r="DO835" s="93"/>
      <c r="DP835" s="93"/>
      <c r="DQ835" s="93"/>
      <c r="DR835" s="93"/>
      <c r="DS835" s="93"/>
      <c r="DT835" s="93"/>
      <c r="DU835" s="93"/>
      <c r="DV835" s="93"/>
      <c r="DW835" s="93"/>
      <c r="DX835" s="93"/>
      <c r="DY835" s="93"/>
      <c r="DZ835" s="93"/>
      <c r="EA835" s="93"/>
      <c r="EB835" s="93"/>
      <c r="EC835" s="93"/>
      <c r="ED835" s="93"/>
      <c r="EE835" s="93"/>
      <c r="EF835" s="93"/>
      <c r="EG835" s="93"/>
      <c r="EH835" s="93"/>
      <c r="EI835" s="93"/>
      <c r="EJ835" s="93"/>
      <c r="EK835" s="93"/>
      <c r="EL835" s="93"/>
      <c r="EM835" s="93"/>
      <c r="EN835" s="93"/>
      <c r="EO835" s="93"/>
      <c r="EP835" s="93"/>
      <c r="EQ835" s="93"/>
      <c r="ER835" s="93"/>
      <c r="ES835" s="93"/>
      <c r="ET835" s="93"/>
      <c r="EU835" s="93"/>
      <c r="EV835" s="93"/>
      <c r="EW835" s="93"/>
      <c r="EX835" s="93"/>
      <c r="EY835" s="93"/>
      <c r="EZ835" s="93"/>
      <c r="FA835" s="93"/>
      <c r="FB835" s="93"/>
      <c r="FC835" s="93"/>
      <c r="FD835" s="93"/>
      <c r="FE835" s="93"/>
      <c r="FF835" s="93"/>
    </row>
    <row r="836" spans="1:162" ht="15.75" customHeight="1">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c r="CM836" s="93"/>
      <c r="CN836" s="93"/>
      <c r="CO836" s="93"/>
      <c r="CP836" s="93"/>
      <c r="CQ836" s="93"/>
      <c r="CR836" s="93"/>
      <c r="CS836" s="93"/>
      <c r="CT836" s="93"/>
      <c r="CU836" s="93"/>
      <c r="CV836" s="93"/>
      <c r="CW836" s="93"/>
      <c r="CX836" s="93"/>
      <c r="CY836" s="93"/>
      <c r="CZ836" s="93"/>
      <c r="DA836" s="93"/>
      <c r="DB836" s="93"/>
      <c r="DC836" s="93"/>
      <c r="DD836" s="93"/>
      <c r="DE836" s="93"/>
      <c r="DF836" s="93"/>
      <c r="DG836" s="93"/>
      <c r="DH836" s="93"/>
      <c r="DI836" s="93"/>
      <c r="DJ836" s="93"/>
      <c r="DK836" s="93"/>
      <c r="DL836" s="93"/>
      <c r="DM836" s="93"/>
      <c r="DN836" s="93"/>
      <c r="DO836" s="93"/>
      <c r="DP836" s="93"/>
      <c r="DQ836" s="93"/>
      <c r="DR836" s="93"/>
      <c r="DS836" s="93"/>
      <c r="DT836" s="93"/>
      <c r="DU836" s="93"/>
      <c r="DV836" s="93"/>
      <c r="DW836" s="93"/>
      <c r="DX836" s="93"/>
      <c r="DY836" s="93"/>
      <c r="DZ836" s="93"/>
      <c r="EA836" s="93"/>
      <c r="EB836" s="93"/>
      <c r="EC836" s="93"/>
      <c r="ED836" s="93"/>
      <c r="EE836" s="93"/>
      <c r="EF836" s="93"/>
      <c r="EG836" s="93"/>
      <c r="EH836" s="93"/>
      <c r="EI836" s="93"/>
      <c r="EJ836" s="93"/>
      <c r="EK836" s="93"/>
      <c r="EL836" s="93"/>
      <c r="EM836" s="93"/>
      <c r="EN836" s="93"/>
      <c r="EO836" s="93"/>
      <c r="EP836" s="93"/>
      <c r="EQ836" s="93"/>
      <c r="ER836" s="93"/>
      <c r="ES836" s="93"/>
      <c r="ET836" s="93"/>
      <c r="EU836" s="93"/>
      <c r="EV836" s="93"/>
      <c r="EW836" s="93"/>
      <c r="EX836" s="93"/>
      <c r="EY836" s="93"/>
      <c r="EZ836" s="93"/>
      <c r="FA836" s="93"/>
      <c r="FB836" s="93"/>
      <c r="FC836" s="93"/>
      <c r="FD836" s="93"/>
      <c r="FE836" s="93"/>
      <c r="FF836" s="93"/>
    </row>
    <row r="837" spans="1:162" ht="15.75" customHeight="1">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c r="CM837" s="93"/>
      <c r="CN837" s="93"/>
      <c r="CO837" s="93"/>
      <c r="CP837" s="93"/>
      <c r="CQ837" s="93"/>
      <c r="CR837" s="93"/>
      <c r="CS837" s="93"/>
      <c r="CT837" s="93"/>
      <c r="CU837" s="93"/>
      <c r="CV837" s="93"/>
      <c r="CW837" s="93"/>
      <c r="CX837" s="93"/>
      <c r="CY837" s="93"/>
      <c r="CZ837" s="93"/>
      <c r="DA837" s="93"/>
      <c r="DB837" s="93"/>
      <c r="DC837" s="93"/>
      <c r="DD837" s="93"/>
      <c r="DE837" s="93"/>
      <c r="DF837" s="93"/>
      <c r="DG837" s="93"/>
      <c r="DH837" s="93"/>
      <c r="DI837" s="93"/>
      <c r="DJ837" s="93"/>
      <c r="DK837" s="93"/>
      <c r="DL837" s="93"/>
      <c r="DM837" s="93"/>
      <c r="DN837" s="93"/>
      <c r="DO837" s="93"/>
      <c r="DP837" s="93"/>
      <c r="DQ837" s="93"/>
      <c r="DR837" s="93"/>
      <c r="DS837" s="93"/>
      <c r="DT837" s="93"/>
      <c r="DU837" s="93"/>
      <c r="DV837" s="93"/>
      <c r="DW837" s="93"/>
      <c r="DX837" s="93"/>
      <c r="DY837" s="93"/>
      <c r="DZ837" s="93"/>
      <c r="EA837" s="93"/>
      <c r="EB837" s="93"/>
      <c r="EC837" s="93"/>
      <c r="ED837" s="93"/>
      <c r="EE837" s="93"/>
      <c r="EF837" s="93"/>
      <c r="EG837" s="93"/>
      <c r="EH837" s="93"/>
      <c r="EI837" s="93"/>
      <c r="EJ837" s="93"/>
      <c r="EK837" s="93"/>
      <c r="EL837" s="93"/>
      <c r="EM837" s="93"/>
      <c r="EN837" s="93"/>
      <c r="EO837" s="93"/>
      <c r="EP837" s="93"/>
      <c r="EQ837" s="93"/>
      <c r="ER837" s="93"/>
      <c r="ES837" s="93"/>
      <c r="ET837" s="93"/>
      <c r="EU837" s="93"/>
      <c r="EV837" s="93"/>
      <c r="EW837" s="93"/>
      <c r="EX837" s="93"/>
      <c r="EY837" s="93"/>
      <c r="EZ837" s="93"/>
      <c r="FA837" s="93"/>
      <c r="FB837" s="93"/>
      <c r="FC837" s="93"/>
      <c r="FD837" s="93"/>
      <c r="FE837" s="93"/>
      <c r="FF837" s="93"/>
    </row>
    <row r="838" spans="1:162" ht="15.75" customHeight="1">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c r="CM838" s="93"/>
      <c r="CN838" s="93"/>
      <c r="CO838" s="93"/>
      <c r="CP838" s="93"/>
      <c r="CQ838" s="93"/>
      <c r="CR838" s="93"/>
      <c r="CS838" s="93"/>
      <c r="CT838" s="93"/>
      <c r="CU838" s="93"/>
      <c r="CV838" s="93"/>
      <c r="CW838" s="93"/>
      <c r="CX838" s="93"/>
      <c r="CY838" s="93"/>
      <c r="CZ838" s="93"/>
      <c r="DA838" s="93"/>
      <c r="DB838" s="93"/>
      <c r="DC838" s="93"/>
      <c r="DD838" s="93"/>
      <c r="DE838" s="93"/>
      <c r="DF838" s="93"/>
      <c r="DG838" s="93"/>
      <c r="DH838" s="93"/>
      <c r="DI838" s="93"/>
      <c r="DJ838" s="93"/>
      <c r="DK838" s="93"/>
      <c r="DL838" s="93"/>
      <c r="DM838" s="93"/>
      <c r="DN838" s="93"/>
      <c r="DO838" s="93"/>
      <c r="DP838" s="93"/>
      <c r="DQ838" s="93"/>
      <c r="DR838" s="93"/>
      <c r="DS838" s="93"/>
      <c r="DT838" s="93"/>
      <c r="DU838" s="93"/>
      <c r="DV838" s="93"/>
      <c r="DW838" s="93"/>
      <c r="DX838" s="93"/>
      <c r="DY838" s="93"/>
      <c r="DZ838" s="93"/>
      <c r="EA838" s="93"/>
      <c r="EB838" s="93"/>
      <c r="EC838" s="93"/>
      <c r="ED838" s="93"/>
      <c r="EE838" s="93"/>
      <c r="EF838" s="93"/>
      <c r="EG838" s="93"/>
      <c r="EH838" s="93"/>
      <c r="EI838" s="93"/>
      <c r="EJ838" s="93"/>
      <c r="EK838" s="93"/>
      <c r="EL838" s="93"/>
      <c r="EM838" s="93"/>
      <c r="EN838" s="93"/>
      <c r="EO838" s="93"/>
      <c r="EP838" s="93"/>
      <c r="EQ838" s="93"/>
      <c r="ER838" s="93"/>
      <c r="ES838" s="93"/>
      <c r="ET838" s="93"/>
      <c r="EU838" s="93"/>
      <c r="EV838" s="93"/>
      <c r="EW838" s="93"/>
      <c r="EX838" s="93"/>
      <c r="EY838" s="93"/>
      <c r="EZ838" s="93"/>
      <c r="FA838" s="93"/>
      <c r="FB838" s="93"/>
      <c r="FC838" s="93"/>
      <c r="FD838" s="93"/>
      <c r="FE838" s="93"/>
      <c r="FF838" s="93"/>
    </row>
    <row r="839" spans="1:162" ht="15.75" customHeight="1">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93"/>
      <c r="DJ839" s="93"/>
      <c r="DK839" s="93"/>
      <c r="DL839" s="93"/>
      <c r="DM839" s="93"/>
      <c r="DN839" s="93"/>
      <c r="DO839" s="93"/>
      <c r="DP839" s="93"/>
      <c r="DQ839" s="93"/>
      <c r="DR839" s="93"/>
      <c r="DS839" s="93"/>
      <c r="DT839" s="93"/>
      <c r="DU839" s="93"/>
      <c r="DV839" s="93"/>
      <c r="DW839" s="93"/>
      <c r="DX839" s="93"/>
      <c r="DY839" s="93"/>
      <c r="DZ839" s="93"/>
      <c r="EA839" s="93"/>
      <c r="EB839" s="93"/>
      <c r="EC839" s="93"/>
      <c r="ED839" s="93"/>
      <c r="EE839" s="93"/>
      <c r="EF839" s="93"/>
      <c r="EG839" s="93"/>
      <c r="EH839" s="93"/>
      <c r="EI839" s="93"/>
      <c r="EJ839" s="93"/>
      <c r="EK839" s="93"/>
      <c r="EL839" s="93"/>
      <c r="EM839" s="93"/>
      <c r="EN839" s="93"/>
      <c r="EO839" s="93"/>
      <c r="EP839" s="93"/>
      <c r="EQ839" s="93"/>
      <c r="ER839" s="93"/>
      <c r="ES839" s="93"/>
      <c r="ET839" s="93"/>
      <c r="EU839" s="93"/>
      <c r="EV839" s="93"/>
      <c r="EW839" s="93"/>
      <c r="EX839" s="93"/>
      <c r="EY839" s="93"/>
      <c r="EZ839" s="93"/>
      <c r="FA839" s="93"/>
      <c r="FB839" s="93"/>
      <c r="FC839" s="93"/>
      <c r="FD839" s="93"/>
      <c r="FE839" s="93"/>
      <c r="FF839" s="93"/>
    </row>
    <row r="840" spans="1:162" ht="15.75" customHeight="1">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93"/>
      <c r="DJ840" s="93"/>
      <c r="DK840" s="93"/>
      <c r="DL840" s="93"/>
      <c r="DM840" s="93"/>
      <c r="DN840" s="93"/>
      <c r="DO840" s="93"/>
      <c r="DP840" s="93"/>
      <c r="DQ840" s="93"/>
      <c r="DR840" s="93"/>
      <c r="DS840" s="93"/>
      <c r="DT840" s="93"/>
      <c r="DU840" s="93"/>
      <c r="DV840" s="93"/>
      <c r="DW840" s="93"/>
      <c r="DX840" s="93"/>
      <c r="DY840" s="93"/>
      <c r="DZ840" s="93"/>
      <c r="EA840" s="93"/>
      <c r="EB840" s="93"/>
      <c r="EC840" s="93"/>
      <c r="ED840" s="93"/>
      <c r="EE840" s="93"/>
      <c r="EF840" s="93"/>
      <c r="EG840" s="93"/>
      <c r="EH840" s="93"/>
      <c r="EI840" s="93"/>
      <c r="EJ840" s="93"/>
      <c r="EK840" s="93"/>
      <c r="EL840" s="93"/>
      <c r="EM840" s="93"/>
      <c r="EN840" s="93"/>
      <c r="EO840" s="93"/>
      <c r="EP840" s="93"/>
      <c r="EQ840" s="93"/>
      <c r="ER840" s="93"/>
      <c r="ES840" s="93"/>
      <c r="ET840" s="93"/>
      <c r="EU840" s="93"/>
      <c r="EV840" s="93"/>
      <c r="EW840" s="93"/>
      <c r="EX840" s="93"/>
      <c r="EY840" s="93"/>
      <c r="EZ840" s="93"/>
      <c r="FA840" s="93"/>
      <c r="FB840" s="93"/>
      <c r="FC840" s="93"/>
      <c r="FD840" s="93"/>
      <c r="FE840" s="93"/>
      <c r="FF840" s="93"/>
    </row>
    <row r="841" spans="1:162" ht="15.75" customHeight="1">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c r="CM841" s="93"/>
      <c r="CN841" s="93"/>
      <c r="CO841" s="93"/>
      <c r="CP841" s="93"/>
      <c r="CQ841" s="93"/>
      <c r="CR841" s="93"/>
      <c r="CS841" s="93"/>
      <c r="CT841" s="93"/>
      <c r="CU841" s="93"/>
      <c r="CV841" s="93"/>
      <c r="CW841" s="93"/>
      <c r="CX841" s="93"/>
      <c r="CY841" s="93"/>
      <c r="CZ841" s="93"/>
      <c r="DA841" s="93"/>
      <c r="DB841" s="93"/>
      <c r="DC841" s="93"/>
      <c r="DD841" s="93"/>
      <c r="DE841" s="93"/>
      <c r="DF841" s="93"/>
      <c r="DG841" s="93"/>
      <c r="DH841" s="93"/>
      <c r="DI841" s="93"/>
      <c r="DJ841" s="93"/>
      <c r="DK841" s="93"/>
      <c r="DL841" s="93"/>
      <c r="DM841" s="93"/>
      <c r="DN841" s="93"/>
      <c r="DO841" s="93"/>
      <c r="DP841" s="93"/>
      <c r="DQ841" s="93"/>
      <c r="DR841" s="93"/>
      <c r="DS841" s="93"/>
      <c r="DT841" s="93"/>
      <c r="DU841" s="93"/>
      <c r="DV841" s="93"/>
      <c r="DW841" s="93"/>
      <c r="DX841" s="93"/>
      <c r="DY841" s="93"/>
      <c r="DZ841" s="93"/>
      <c r="EA841" s="93"/>
      <c r="EB841" s="93"/>
      <c r="EC841" s="93"/>
      <c r="ED841" s="93"/>
      <c r="EE841" s="93"/>
      <c r="EF841" s="93"/>
      <c r="EG841" s="93"/>
      <c r="EH841" s="93"/>
      <c r="EI841" s="93"/>
      <c r="EJ841" s="93"/>
      <c r="EK841" s="93"/>
      <c r="EL841" s="93"/>
      <c r="EM841" s="93"/>
      <c r="EN841" s="93"/>
      <c r="EO841" s="93"/>
      <c r="EP841" s="93"/>
      <c r="EQ841" s="93"/>
      <c r="ER841" s="93"/>
      <c r="ES841" s="93"/>
      <c r="ET841" s="93"/>
      <c r="EU841" s="93"/>
      <c r="EV841" s="93"/>
      <c r="EW841" s="93"/>
      <c r="EX841" s="93"/>
      <c r="EY841" s="93"/>
      <c r="EZ841" s="93"/>
      <c r="FA841" s="93"/>
      <c r="FB841" s="93"/>
      <c r="FC841" s="93"/>
      <c r="FD841" s="93"/>
      <c r="FE841" s="93"/>
      <c r="FF841" s="93"/>
    </row>
    <row r="842" spans="1:162" ht="15.75" customHeight="1">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c r="CM842" s="93"/>
      <c r="CN842" s="93"/>
      <c r="CO842" s="93"/>
      <c r="CP842" s="93"/>
      <c r="CQ842" s="93"/>
      <c r="CR842" s="93"/>
      <c r="CS842" s="93"/>
      <c r="CT842" s="93"/>
      <c r="CU842" s="93"/>
      <c r="CV842" s="93"/>
      <c r="CW842" s="93"/>
      <c r="CX842" s="93"/>
      <c r="CY842" s="93"/>
      <c r="CZ842" s="93"/>
      <c r="DA842" s="93"/>
      <c r="DB842" s="93"/>
      <c r="DC842" s="93"/>
      <c r="DD842" s="93"/>
      <c r="DE842" s="93"/>
      <c r="DF842" s="93"/>
      <c r="DG842" s="93"/>
      <c r="DH842" s="93"/>
      <c r="DI842" s="93"/>
      <c r="DJ842" s="93"/>
      <c r="DK842" s="93"/>
      <c r="DL842" s="93"/>
      <c r="DM842" s="93"/>
      <c r="DN842" s="93"/>
      <c r="DO842" s="93"/>
      <c r="DP842" s="93"/>
      <c r="DQ842" s="93"/>
      <c r="DR842" s="93"/>
      <c r="DS842" s="93"/>
      <c r="DT842" s="93"/>
      <c r="DU842" s="93"/>
      <c r="DV842" s="93"/>
      <c r="DW842" s="93"/>
      <c r="DX842" s="93"/>
      <c r="DY842" s="93"/>
      <c r="DZ842" s="93"/>
      <c r="EA842" s="93"/>
      <c r="EB842" s="93"/>
      <c r="EC842" s="93"/>
      <c r="ED842" s="93"/>
      <c r="EE842" s="93"/>
      <c r="EF842" s="93"/>
      <c r="EG842" s="93"/>
      <c r="EH842" s="93"/>
      <c r="EI842" s="93"/>
      <c r="EJ842" s="93"/>
      <c r="EK842" s="93"/>
      <c r="EL842" s="93"/>
      <c r="EM842" s="93"/>
      <c r="EN842" s="93"/>
      <c r="EO842" s="93"/>
      <c r="EP842" s="93"/>
      <c r="EQ842" s="93"/>
      <c r="ER842" s="93"/>
      <c r="ES842" s="93"/>
      <c r="ET842" s="93"/>
      <c r="EU842" s="93"/>
      <c r="EV842" s="93"/>
      <c r="EW842" s="93"/>
      <c r="EX842" s="93"/>
      <c r="EY842" s="93"/>
      <c r="EZ842" s="93"/>
      <c r="FA842" s="93"/>
      <c r="FB842" s="93"/>
      <c r="FC842" s="93"/>
      <c r="FD842" s="93"/>
      <c r="FE842" s="93"/>
      <c r="FF842" s="93"/>
    </row>
    <row r="843" spans="1:162" ht="15.75" customHeight="1">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row>
    <row r="844" spans="1:162" ht="15.75" customHeight="1">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c r="CM844" s="93"/>
      <c r="CN844" s="93"/>
      <c r="CO844" s="93"/>
      <c r="CP844" s="93"/>
      <c r="CQ844" s="93"/>
      <c r="CR844" s="93"/>
      <c r="CS844" s="93"/>
      <c r="CT844" s="93"/>
      <c r="CU844" s="93"/>
      <c r="CV844" s="93"/>
      <c r="CW844" s="93"/>
      <c r="CX844" s="93"/>
      <c r="CY844" s="93"/>
      <c r="CZ844" s="93"/>
      <c r="DA844" s="93"/>
      <c r="DB844" s="93"/>
      <c r="DC844" s="93"/>
      <c r="DD844" s="93"/>
      <c r="DE844" s="93"/>
      <c r="DF844" s="93"/>
      <c r="DG844" s="93"/>
      <c r="DH844" s="93"/>
      <c r="DI844" s="93"/>
      <c r="DJ844" s="93"/>
      <c r="DK844" s="93"/>
      <c r="DL844" s="93"/>
      <c r="DM844" s="93"/>
      <c r="DN844" s="93"/>
      <c r="DO844" s="93"/>
      <c r="DP844" s="93"/>
      <c r="DQ844" s="93"/>
      <c r="DR844" s="93"/>
      <c r="DS844" s="93"/>
      <c r="DT844" s="93"/>
      <c r="DU844" s="93"/>
      <c r="DV844" s="93"/>
      <c r="DW844" s="93"/>
      <c r="DX844" s="93"/>
      <c r="DY844" s="93"/>
      <c r="DZ844" s="93"/>
      <c r="EA844" s="93"/>
      <c r="EB844" s="93"/>
      <c r="EC844" s="93"/>
      <c r="ED844" s="93"/>
      <c r="EE844" s="93"/>
      <c r="EF844" s="93"/>
      <c r="EG844" s="93"/>
      <c r="EH844" s="93"/>
      <c r="EI844" s="93"/>
      <c r="EJ844" s="93"/>
      <c r="EK844" s="93"/>
      <c r="EL844" s="93"/>
      <c r="EM844" s="93"/>
      <c r="EN844" s="93"/>
      <c r="EO844" s="93"/>
      <c r="EP844" s="93"/>
      <c r="EQ844" s="93"/>
      <c r="ER844" s="93"/>
      <c r="ES844" s="93"/>
      <c r="ET844" s="93"/>
      <c r="EU844" s="93"/>
      <c r="EV844" s="93"/>
      <c r="EW844" s="93"/>
      <c r="EX844" s="93"/>
      <c r="EY844" s="93"/>
      <c r="EZ844" s="93"/>
      <c r="FA844" s="93"/>
      <c r="FB844" s="93"/>
      <c r="FC844" s="93"/>
      <c r="FD844" s="93"/>
      <c r="FE844" s="93"/>
      <c r="FF844" s="93"/>
    </row>
    <row r="845" spans="1:162" ht="15.75" customHeight="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c r="CM845" s="93"/>
      <c r="CN845" s="93"/>
      <c r="CO845" s="93"/>
      <c r="CP845" s="93"/>
      <c r="CQ845" s="93"/>
      <c r="CR845" s="93"/>
      <c r="CS845" s="93"/>
      <c r="CT845" s="93"/>
      <c r="CU845" s="93"/>
      <c r="CV845" s="93"/>
      <c r="CW845" s="93"/>
      <c r="CX845" s="93"/>
      <c r="CY845" s="93"/>
      <c r="CZ845" s="93"/>
      <c r="DA845" s="93"/>
      <c r="DB845" s="93"/>
      <c r="DC845" s="93"/>
      <c r="DD845" s="93"/>
      <c r="DE845" s="93"/>
      <c r="DF845" s="93"/>
      <c r="DG845" s="93"/>
      <c r="DH845" s="93"/>
      <c r="DI845" s="93"/>
      <c r="DJ845" s="93"/>
      <c r="DK845" s="93"/>
      <c r="DL845" s="93"/>
      <c r="DM845" s="93"/>
      <c r="DN845" s="93"/>
      <c r="DO845" s="93"/>
      <c r="DP845" s="93"/>
      <c r="DQ845" s="93"/>
      <c r="DR845" s="93"/>
      <c r="DS845" s="93"/>
      <c r="DT845" s="93"/>
      <c r="DU845" s="93"/>
      <c r="DV845" s="93"/>
      <c r="DW845" s="93"/>
      <c r="DX845" s="93"/>
      <c r="DY845" s="93"/>
      <c r="DZ845" s="93"/>
      <c r="EA845" s="93"/>
      <c r="EB845" s="93"/>
      <c r="EC845" s="93"/>
      <c r="ED845" s="93"/>
      <c r="EE845" s="93"/>
      <c r="EF845" s="93"/>
      <c r="EG845" s="93"/>
      <c r="EH845" s="93"/>
      <c r="EI845" s="93"/>
      <c r="EJ845" s="93"/>
      <c r="EK845" s="93"/>
      <c r="EL845" s="93"/>
      <c r="EM845" s="93"/>
      <c r="EN845" s="93"/>
      <c r="EO845" s="93"/>
      <c r="EP845" s="93"/>
      <c r="EQ845" s="93"/>
      <c r="ER845" s="93"/>
      <c r="ES845" s="93"/>
      <c r="ET845" s="93"/>
      <c r="EU845" s="93"/>
      <c r="EV845" s="93"/>
      <c r="EW845" s="93"/>
      <c r="EX845" s="93"/>
      <c r="EY845" s="93"/>
      <c r="EZ845" s="93"/>
      <c r="FA845" s="93"/>
      <c r="FB845" s="93"/>
      <c r="FC845" s="93"/>
      <c r="FD845" s="93"/>
      <c r="FE845" s="93"/>
      <c r="FF845" s="93"/>
    </row>
    <row r="846" spans="1:162" ht="15.75" customHeight="1">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93"/>
      <c r="DV846" s="93"/>
      <c r="DW846" s="93"/>
      <c r="DX846" s="93"/>
      <c r="DY846" s="93"/>
      <c r="DZ846" s="93"/>
      <c r="EA846" s="93"/>
      <c r="EB846" s="93"/>
      <c r="EC846" s="93"/>
      <c r="ED846" s="93"/>
      <c r="EE846" s="93"/>
      <c r="EF846" s="93"/>
      <c r="EG846" s="93"/>
      <c r="EH846" s="93"/>
      <c r="EI846" s="93"/>
      <c r="EJ846" s="93"/>
      <c r="EK846" s="93"/>
      <c r="EL846" s="93"/>
      <c r="EM846" s="93"/>
      <c r="EN846" s="93"/>
      <c r="EO846" s="93"/>
      <c r="EP846" s="93"/>
      <c r="EQ846" s="93"/>
      <c r="ER846" s="93"/>
      <c r="ES846" s="93"/>
      <c r="ET846" s="93"/>
      <c r="EU846" s="93"/>
      <c r="EV846" s="93"/>
      <c r="EW846" s="93"/>
      <c r="EX846" s="93"/>
      <c r="EY846" s="93"/>
      <c r="EZ846" s="93"/>
      <c r="FA846" s="93"/>
      <c r="FB846" s="93"/>
      <c r="FC846" s="93"/>
      <c r="FD846" s="93"/>
      <c r="FE846" s="93"/>
      <c r="FF846" s="93"/>
    </row>
    <row r="847" spans="1:162" ht="15.75" customHeight="1">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row>
    <row r="848" spans="1:162" ht="15.75" customHeight="1">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c r="CM848" s="93"/>
      <c r="CN848" s="93"/>
      <c r="CO848" s="93"/>
      <c r="CP848" s="93"/>
      <c r="CQ848" s="93"/>
      <c r="CR848" s="93"/>
      <c r="CS848" s="93"/>
      <c r="CT848" s="93"/>
      <c r="CU848" s="93"/>
      <c r="CV848" s="93"/>
      <c r="CW848" s="93"/>
      <c r="CX848" s="93"/>
      <c r="CY848" s="93"/>
      <c r="CZ848" s="93"/>
      <c r="DA848" s="93"/>
      <c r="DB848" s="93"/>
      <c r="DC848" s="93"/>
      <c r="DD848" s="93"/>
      <c r="DE848" s="93"/>
      <c r="DF848" s="93"/>
      <c r="DG848" s="93"/>
      <c r="DH848" s="93"/>
      <c r="DI848" s="93"/>
      <c r="DJ848" s="93"/>
      <c r="DK848" s="93"/>
      <c r="DL848" s="93"/>
      <c r="DM848" s="93"/>
      <c r="DN848" s="93"/>
      <c r="DO848" s="93"/>
      <c r="DP848" s="93"/>
      <c r="DQ848" s="93"/>
      <c r="DR848" s="93"/>
      <c r="DS848" s="93"/>
      <c r="DT848" s="93"/>
      <c r="DU848" s="93"/>
      <c r="DV848" s="93"/>
      <c r="DW848" s="93"/>
      <c r="DX848" s="93"/>
      <c r="DY848" s="93"/>
      <c r="DZ848" s="93"/>
      <c r="EA848" s="93"/>
      <c r="EB848" s="93"/>
      <c r="EC848" s="93"/>
      <c r="ED848" s="93"/>
      <c r="EE848" s="93"/>
      <c r="EF848" s="93"/>
      <c r="EG848" s="93"/>
      <c r="EH848" s="93"/>
      <c r="EI848" s="93"/>
      <c r="EJ848" s="93"/>
      <c r="EK848" s="93"/>
      <c r="EL848" s="93"/>
      <c r="EM848" s="93"/>
      <c r="EN848" s="93"/>
      <c r="EO848" s="93"/>
      <c r="EP848" s="93"/>
      <c r="EQ848" s="93"/>
      <c r="ER848" s="93"/>
      <c r="ES848" s="93"/>
      <c r="ET848" s="93"/>
      <c r="EU848" s="93"/>
      <c r="EV848" s="93"/>
      <c r="EW848" s="93"/>
      <c r="EX848" s="93"/>
      <c r="EY848" s="93"/>
      <c r="EZ848" s="93"/>
      <c r="FA848" s="93"/>
      <c r="FB848" s="93"/>
      <c r="FC848" s="93"/>
      <c r="FD848" s="93"/>
      <c r="FE848" s="93"/>
      <c r="FF848" s="93"/>
    </row>
    <row r="849" spans="1:162" ht="15.75" customHeight="1">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c r="CM849" s="93"/>
      <c r="CN849" s="93"/>
      <c r="CO849" s="93"/>
      <c r="CP849" s="93"/>
      <c r="CQ849" s="93"/>
      <c r="CR849" s="93"/>
      <c r="CS849" s="93"/>
      <c r="CT849" s="93"/>
      <c r="CU849" s="93"/>
      <c r="CV849" s="93"/>
      <c r="CW849" s="93"/>
      <c r="CX849" s="93"/>
      <c r="CY849" s="93"/>
      <c r="CZ849" s="93"/>
      <c r="DA849" s="93"/>
      <c r="DB849" s="93"/>
      <c r="DC849" s="93"/>
      <c r="DD849" s="93"/>
      <c r="DE849" s="93"/>
      <c r="DF849" s="93"/>
      <c r="DG849" s="93"/>
      <c r="DH849" s="93"/>
      <c r="DI849" s="93"/>
      <c r="DJ849" s="93"/>
      <c r="DK849" s="93"/>
      <c r="DL849" s="93"/>
      <c r="DM849" s="93"/>
      <c r="DN849" s="93"/>
      <c r="DO849" s="93"/>
      <c r="DP849" s="93"/>
      <c r="DQ849" s="93"/>
      <c r="DR849" s="93"/>
      <c r="DS849" s="93"/>
      <c r="DT849" s="93"/>
      <c r="DU849" s="93"/>
      <c r="DV849" s="93"/>
      <c r="DW849" s="93"/>
      <c r="DX849" s="93"/>
      <c r="DY849" s="93"/>
      <c r="DZ849" s="93"/>
      <c r="EA849" s="93"/>
      <c r="EB849" s="93"/>
      <c r="EC849" s="93"/>
      <c r="ED849" s="93"/>
      <c r="EE849" s="93"/>
      <c r="EF849" s="93"/>
      <c r="EG849" s="93"/>
      <c r="EH849" s="93"/>
      <c r="EI849" s="93"/>
      <c r="EJ849" s="93"/>
      <c r="EK849" s="93"/>
      <c r="EL849" s="93"/>
      <c r="EM849" s="93"/>
      <c r="EN849" s="93"/>
      <c r="EO849" s="93"/>
      <c r="EP849" s="93"/>
      <c r="EQ849" s="93"/>
      <c r="ER849" s="93"/>
      <c r="ES849" s="93"/>
      <c r="ET849" s="93"/>
      <c r="EU849" s="93"/>
      <c r="EV849" s="93"/>
      <c r="EW849" s="93"/>
      <c r="EX849" s="93"/>
      <c r="EY849" s="93"/>
      <c r="EZ849" s="93"/>
      <c r="FA849" s="93"/>
      <c r="FB849" s="93"/>
      <c r="FC849" s="93"/>
      <c r="FD849" s="93"/>
      <c r="FE849" s="93"/>
      <c r="FF849" s="93"/>
    </row>
    <row r="850" spans="1:162" ht="15.75" customHeight="1">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c r="CM850" s="93"/>
      <c r="CN850" s="93"/>
      <c r="CO850" s="93"/>
      <c r="CP850" s="93"/>
      <c r="CQ850" s="93"/>
      <c r="CR850" s="93"/>
      <c r="CS850" s="93"/>
      <c r="CT850" s="93"/>
      <c r="CU850" s="93"/>
      <c r="CV850" s="93"/>
      <c r="CW850" s="93"/>
      <c r="CX850" s="93"/>
      <c r="CY850" s="93"/>
      <c r="CZ850" s="93"/>
      <c r="DA850" s="93"/>
      <c r="DB850" s="93"/>
      <c r="DC850" s="93"/>
      <c r="DD850" s="93"/>
      <c r="DE850" s="93"/>
      <c r="DF850" s="93"/>
      <c r="DG850" s="93"/>
      <c r="DH850" s="93"/>
      <c r="DI850" s="93"/>
      <c r="DJ850" s="93"/>
      <c r="DK850" s="93"/>
      <c r="DL850" s="93"/>
      <c r="DM850" s="93"/>
      <c r="DN850" s="93"/>
      <c r="DO850" s="93"/>
      <c r="DP850" s="93"/>
      <c r="DQ850" s="93"/>
      <c r="DR850" s="93"/>
      <c r="DS850" s="93"/>
      <c r="DT850" s="93"/>
      <c r="DU850" s="93"/>
      <c r="DV850" s="93"/>
      <c r="DW850" s="93"/>
      <c r="DX850" s="93"/>
      <c r="DY850" s="93"/>
      <c r="DZ850" s="93"/>
      <c r="EA850" s="93"/>
      <c r="EB850" s="93"/>
      <c r="EC850" s="93"/>
      <c r="ED850" s="93"/>
      <c r="EE850" s="93"/>
      <c r="EF850" s="93"/>
      <c r="EG850" s="93"/>
      <c r="EH850" s="93"/>
      <c r="EI850" s="93"/>
      <c r="EJ850" s="93"/>
      <c r="EK850" s="93"/>
      <c r="EL850" s="93"/>
      <c r="EM850" s="93"/>
      <c r="EN850" s="93"/>
      <c r="EO850" s="93"/>
      <c r="EP850" s="93"/>
      <c r="EQ850" s="93"/>
      <c r="ER850" s="93"/>
      <c r="ES850" s="93"/>
      <c r="ET850" s="93"/>
      <c r="EU850" s="93"/>
      <c r="EV850" s="93"/>
      <c r="EW850" s="93"/>
      <c r="EX850" s="93"/>
      <c r="EY850" s="93"/>
      <c r="EZ850" s="93"/>
      <c r="FA850" s="93"/>
      <c r="FB850" s="93"/>
      <c r="FC850" s="93"/>
      <c r="FD850" s="93"/>
      <c r="FE850" s="93"/>
      <c r="FF850" s="93"/>
    </row>
    <row r="851" spans="1:162" ht="15.75" customHeight="1">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c r="CM851" s="93"/>
      <c r="CN851" s="93"/>
      <c r="CO851" s="93"/>
      <c r="CP851" s="93"/>
      <c r="CQ851" s="93"/>
      <c r="CR851" s="93"/>
      <c r="CS851" s="93"/>
      <c r="CT851" s="93"/>
      <c r="CU851" s="93"/>
      <c r="CV851" s="93"/>
      <c r="CW851" s="93"/>
      <c r="CX851" s="93"/>
      <c r="CY851" s="93"/>
      <c r="CZ851" s="93"/>
      <c r="DA851" s="93"/>
      <c r="DB851" s="93"/>
      <c r="DC851" s="93"/>
      <c r="DD851" s="93"/>
      <c r="DE851" s="93"/>
      <c r="DF851" s="93"/>
      <c r="DG851" s="93"/>
      <c r="DH851" s="93"/>
      <c r="DI851" s="93"/>
      <c r="DJ851" s="93"/>
      <c r="DK851" s="93"/>
      <c r="DL851" s="93"/>
      <c r="DM851" s="93"/>
      <c r="DN851" s="93"/>
      <c r="DO851" s="93"/>
      <c r="DP851" s="93"/>
      <c r="DQ851" s="93"/>
      <c r="DR851" s="93"/>
      <c r="DS851" s="93"/>
      <c r="DT851" s="93"/>
      <c r="DU851" s="93"/>
      <c r="DV851" s="93"/>
      <c r="DW851" s="93"/>
      <c r="DX851" s="93"/>
      <c r="DY851" s="93"/>
      <c r="DZ851" s="93"/>
      <c r="EA851" s="93"/>
      <c r="EB851" s="93"/>
      <c r="EC851" s="93"/>
      <c r="ED851" s="93"/>
      <c r="EE851" s="93"/>
      <c r="EF851" s="93"/>
      <c r="EG851" s="93"/>
      <c r="EH851" s="93"/>
      <c r="EI851" s="93"/>
      <c r="EJ851" s="93"/>
      <c r="EK851" s="93"/>
      <c r="EL851" s="93"/>
      <c r="EM851" s="93"/>
      <c r="EN851" s="93"/>
      <c r="EO851" s="93"/>
      <c r="EP851" s="93"/>
      <c r="EQ851" s="93"/>
      <c r="ER851" s="93"/>
      <c r="ES851" s="93"/>
      <c r="ET851" s="93"/>
      <c r="EU851" s="93"/>
      <c r="EV851" s="93"/>
      <c r="EW851" s="93"/>
      <c r="EX851" s="93"/>
      <c r="EY851" s="93"/>
      <c r="EZ851" s="93"/>
      <c r="FA851" s="93"/>
      <c r="FB851" s="93"/>
      <c r="FC851" s="93"/>
      <c r="FD851" s="93"/>
      <c r="FE851" s="93"/>
      <c r="FF851" s="93"/>
    </row>
    <row r="852" spans="1:162" ht="15.75" customHeight="1">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c r="CM852" s="93"/>
      <c r="CN852" s="93"/>
      <c r="CO852" s="93"/>
      <c r="CP852" s="93"/>
      <c r="CQ852" s="93"/>
      <c r="CR852" s="93"/>
      <c r="CS852" s="93"/>
      <c r="CT852" s="93"/>
      <c r="CU852" s="93"/>
      <c r="CV852" s="93"/>
      <c r="CW852" s="93"/>
      <c r="CX852" s="93"/>
      <c r="CY852" s="93"/>
      <c r="CZ852" s="93"/>
      <c r="DA852" s="93"/>
      <c r="DB852" s="93"/>
      <c r="DC852" s="93"/>
      <c r="DD852" s="93"/>
      <c r="DE852" s="93"/>
      <c r="DF852" s="93"/>
      <c r="DG852" s="93"/>
      <c r="DH852" s="93"/>
      <c r="DI852" s="93"/>
      <c r="DJ852" s="93"/>
      <c r="DK852" s="93"/>
      <c r="DL852" s="93"/>
      <c r="DM852" s="93"/>
      <c r="DN852" s="93"/>
      <c r="DO852" s="93"/>
      <c r="DP852" s="93"/>
      <c r="DQ852" s="93"/>
      <c r="DR852" s="93"/>
      <c r="DS852" s="93"/>
      <c r="DT852" s="93"/>
      <c r="DU852" s="93"/>
      <c r="DV852" s="93"/>
      <c r="DW852" s="93"/>
      <c r="DX852" s="93"/>
      <c r="DY852" s="93"/>
      <c r="DZ852" s="93"/>
      <c r="EA852" s="93"/>
      <c r="EB852" s="93"/>
      <c r="EC852" s="93"/>
      <c r="ED852" s="93"/>
      <c r="EE852" s="93"/>
      <c r="EF852" s="93"/>
      <c r="EG852" s="93"/>
      <c r="EH852" s="93"/>
      <c r="EI852" s="93"/>
      <c r="EJ852" s="93"/>
      <c r="EK852" s="93"/>
      <c r="EL852" s="93"/>
      <c r="EM852" s="93"/>
      <c r="EN852" s="93"/>
      <c r="EO852" s="93"/>
      <c r="EP852" s="93"/>
      <c r="EQ852" s="93"/>
      <c r="ER852" s="93"/>
      <c r="ES852" s="93"/>
      <c r="ET852" s="93"/>
      <c r="EU852" s="93"/>
      <c r="EV852" s="93"/>
      <c r="EW852" s="93"/>
      <c r="EX852" s="93"/>
      <c r="EY852" s="93"/>
      <c r="EZ852" s="93"/>
      <c r="FA852" s="93"/>
      <c r="FB852" s="93"/>
      <c r="FC852" s="93"/>
      <c r="FD852" s="93"/>
      <c r="FE852" s="93"/>
      <c r="FF852" s="93"/>
    </row>
    <row r="853" spans="1:162" ht="15.75" customHeight="1">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c r="CM853" s="93"/>
      <c r="CN853" s="93"/>
      <c r="CO853" s="93"/>
      <c r="CP853" s="93"/>
      <c r="CQ853" s="93"/>
      <c r="CR853" s="93"/>
      <c r="CS853" s="93"/>
      <c r="CT853" s="93"/>
      <c r="CU853" s="93"/>
      <c r="CV853" s="93"/>
      <c r="CW853" s="93"/>
      <c r="CX853" s="93"/>
      <c r="CY853" s="93"/>
      <c r="CZ853" s="93"/>
      <c r="DA853" s="93"/>
      <c r="DB853" s="93"/>
      <c r="DC853" s="93"/>
      <c r="DD853" s="93"/>
      <c r="DE853" s="93"/>
      <c r="DF853" s="93"/>
      <c r="DG853" s="93"/>
      <c r="DH853" s="93"/>
      <c r="DI853" s="93"/>
      <c r="DJ853" s="93"/>
      <c r="DK853" s="93"/>
      <c r="DL853" s="93"/>
      <c r="DM853" s="93"/>
      <c r="DN853" s="93"/>
      <c r="DO853" s="93"/>
      <c r="DP853" s="93"/>
      <c r="DQ853" s="93"/>
      <c r="DR853" s="93"/>
      <c r="DS853" s="93"/>
      <c r="DT853" s="93"/>
      <c r="DU853" s="93"/>
      <c r="DV853" s="93"/>
      <c r="DW853" s="93"/>
      <c r="DX853" s="93"/>
      <c r="DY853" s="93"/>
      <c r="DZ853" s="93"/>
      <c r="EA853" s="93"/>
      <c r="EB853" s="93"/>
      <c r="EC853" s="93"/>
      <c r="ED853" s="93"/>
      <c r="EE853" s="93"/>
      <c r="EF853" s="93"/>
      <c r="EG853" s="93"/>
      <c r="EH853" s="93"/>
      <c r="EI853" s="93"/>
      <c r="EJ853" s="93"/>
      <c r="EK853" s="93"/>
      <c r="EL853" s="93"/>
      <c r="EM853" s="93"/>
      <c r="EN853" s="93"/>
      <c r="EO853" s="93"/>
      <c r="EP853" s="93"/>
      <c r="EQ853" s="93"/>
      <c r="ER853" s="93"/>
      <c r="ES853" s="93"/>
      <c r="ET853" s="93"/>
      <c r="EU853" s="93"/>
      <c r="EV853" s="93"/>
      <c r="EW853" s="93"/>
      <c r="EX853" s="93"/>
      <c r="EY853" s="93"/>
      <c r="EZ853" s="93"/>
      <c r="FA853" s="93"/>
      <c r="FB853" s="93"/>
      <c r="FC853" s="93"/>
      <c r="FD853" s="93"/>
      <c r="FE853" s="93"/>
      <c r="FF853" s="93"/>
    </row>
    <row r="854" spans="1:162" ht="15.75" customHeight="1">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c r="CM854" s="93"/>
      <c r="CN854" s="93"/>
      <c r="CO854" s="93"/>
      <c r="CP854" s="93"/>
      <c r="CQ854" s="93"/>
      <c r="CR854" s="93"/>
      <c r="CS854" s="93"/>
      <c r="CT854" s="93"/>
      <c r="CU854" s="93"/>
      <c r="CV854" s="93"/>
      <c r="CW854" s="93"/>
      <c r="CX854" s="93"/>
      <c r="CY854" s="93"/>
      <c r="CZ854" s="93"/>
      <c r="DA854" s="93"/>
      <c r="DB854" s="93"/>
      <c r="DC854" s="93"/>
      <c r="DD854" s="93"/>
      <c r="DE854" s="93"/>
      <c r="DF854" s="93"/>
      <c r="DG854" s="93"/>
      <c r="DH854" s="93"/>
      <c r="DI854" s="93"/>
      <c r="DJ854" s="93"/>
      <c r="DK854" s="93"/>
      <c r="DL854" s="93"/>
      <c r="DM854" s="93"/>
      <c r="DN854" s="93"/>
      <c r="DO854" s="93"/>
      <c r="DP854" s="93"/>
      <c r="DQ854" s="93"/>
      <c r="DR854" s="93"/>
      <c r="DS854" s="93"/>
      <c r="DT854" s="93"/>
      <c r="DU854" s="93"/>
      <c r="DV854" s="93"/>
      <c r="DW854" s="93"/>
      <c r="DX854" s="93"/>
      <c r="DY854" s="93"/>
      <c r="DZ854" s="93"/>
      <c r="EA854" s="93"/>
      <c r="EB854" s="93"/>
      <c r="EC854" s="93"/>
      <c r="ED854" s="93"/>
      <c r="EE854" s="93"/>
      <c r="EF854" s="93"/>
      <c r="EG854" s="93"/>
      <c r="EH854" s="93"/>
      <c r="EI854" s="93"/>
      <c r="EJ854" s="93"/>
      <c r="EK854" s="93"/>
      <c r="EL854" s="93"/>
      <c r="EM854" s="93"/>
      <c r="EN854" s="93"/>
      <c r="EO854" s="93"/>
      <c r="EP854" s="93"/>
      <c r="EQ854" s="93"/>
      <c r="ER854" s="93"/>
      <c r="ES854" s="93"/>
      <c r="ET854" s="93"/>
      <c r="EU854" s="93"/>
      <c r="EV854" s="93"/>
      <c r="EW854" s="93"/>
      <c r="EX854" s="93"/>
      <c r="EY854" s="93"/>
      <c r="EZ854" s="93"/>
      <c r="FA854" s="93"/>
      <c r="FB854" s="93"/>
      <c r="FC854" s="93"/>
      <c r="FD854" s="93"/>
      <c r="FE854" s="93"/>
      <c r="FF854" s="93"/>
    </row>
    <row r="855" spans="1:162" ht="15.75" customHeight="1">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c r="CM855" s="93"/>
      <c r="CN855" s="93"/>
      <c r="CO855" s="93"/>
      <c r="CP855" s="93"/>
      <c r="CQ855" s="93"/>
      <c r="CR855" s="93"/>
      <c r="CS855" s="93"/>
      <c r="CT855" s="93"/>
      <c r="CU855" s="93"/>
      <c r="CV855" s="93"/>
      <c r="CW855" s="93"/>
      <c r="CX855" s="93"/>
      <c r="CY855" s="93"/>
      <c r="CZ855" s="93"/>
      <c r="DA855" s="93"/>
      <c r="DB855" s="93"/>
      <c r="DC855" s="93"/>
      <c r="DD855" s="93"/>
      <c r="DE855" s="93"/>
      <c r="DF855" s="93"/>
      <c r="DG855" s="93"/>
      <c r="DH855" s="93"/>
      <c r="DI855" s="93"/>
      <c r="DJ855" s="93"/>
      <c r="DK855" s="93"/>
      <c r="DL855" s="93"/>
      <c r="DM855" s="93"/>
      <c r="DN855" s="93"/>
      <c r="DO855" s="93"/>
      <c r="DP855" s="93"/>
      <c r="DQ855" s="93"/>
      <c r="DR855" s="93"/>
      <c r="DS855" s="93"/>
      <c r="DT855" s="93"/>
      <c r="DU855" s="93"/>
      <c r="DV855" s="93"/>
      <c r="DW855" s="93"/>
      <c r="DX855" s="93"/>
      <c r="DY855" s="93"/>
      <c r="DZ855" s="93"/>
      <c r="EA855" s="93"/>
      <c r="EB855" s="93"/>
      <c r="EC855" s="93"/>
      <c r="ED855" s="93"/>
      <c r="EE855" s="93"/>
      <c r="EF855" s="93"/>
      <c r="EG855" s="93"/>
      <c r="EH855" s="93"/>
      <c r="EI855" s="93"/>
      <c r="EJ855" s="93"/>
      <c r="EK855" s="93"/>
      <c r="EL855" s="93"/>
      <c r="EM855" s="93"/>
      <c r="EN855" s="93"/>
      <c r="EO855" s="93"/>
      <c r="EP855" s="93"/>
      <c r="EQ855" s="93"/>
      <c r="ER855" s="93"/>
      <c r="ES855" s="93"/>
      <c r="ET855" s="93"/>
      <c r="EU855" s="93"/>
      <c r="EV855" s="93"/>
      <c r="EW855" s="93"/>
      <c r="EX855" s="93"/>
      <c r="EY855" s="93"/>
      <c r="EZ855" s="93"/>
      <c r="FA855" s="93"/>
      <c r="FB855" s="93"/>
      <c r="FC855" s="93"/>
      <c r="FD855" s="93"/>
      <c r="FE855" s="93"/>
      <c r="FF855" s="93"/>
    </row>
    <row r="856" spans="1:162" ht="15.75" customHeight="1">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c r="CM856" s="93"/>
      <c r="CN856" s="93"/>
      <c r="CO856" s="93"/>
      <c r="CP856" s="93"/>
      <c r="CQ856" s="93"/>
      <c r="CR856" s="93"/>
      <c r="CS856" s="93"/>
      <c r="CT856" s="93"/>
      <c r="CU856" s="93"/>
      <c r="CV856" s="93"/>
      <c r="CW856" s="93"/>
      <c r="CX856" s="93"/>
      <c r="CY856" s="93"/>
      <c r="CZ856" s="93"/>
      <c r="DA856" s="93"/>
      <c r="DB856" s="93"/>
      <c r="DC856" s="93"/>
      <c r="DD856" s="93"/>
      <c r="DE856" s="93"/>
      <c r="DF856" s="93"/>
      <c r="DG856" s="93"/>
      <c r="DH856" s="93"/>
      <c r="DI856" s="93"/>
      <c r="DJ856" s="93"/>
      <c r="DK856" s="93"/>
      <c r="DL856" s="93"/>
      <c r="DM856" s="93"/>
      <c r="DN856" s="93"/>
      <c r="DO856" s="93"/>
      <c r="DP856" s="93"/>
      <c r="DQ856" s="93"/>
      <c r="DR856" s="93"/>
      <c r="DS856" s="93"/>
      <c r="DT856" s="93"/>
      <c r="DU856" s="93"/>
      <c r="DV856" s="93"/>
      <c r="DW856" s="93"/>
      <c r="DX856" s="93"/>
      <c r="DY856" s="93"/>
      <c r="DZ856" s="93"/>
      <c r="EA856" s="93"/>
      <c r="EB856" s="93"/>
      <c r="EC856" s="93"/>
      <c r="ED856" s="93"/>
      <c r="EE856" s="93"/>
      <c r="EF856" s="93"/>
      <c r="EG856" s="93"/>
      <c r="EH856" s="93"/>
      <c r="EI856" s="93"/>
      <c r="EJ856" s="93"/>
      <c r="EK856" s="93"/>
      <c r="EL856" s="93"/>
      <c r="EM856" s="93"/>
      <c r="EN856" s="93"/>
      <c r="EO856" s="93"/>
      <c r="EP856" s="93"/>
      <c r="EQ856" s="93"/>
      <c r="ER856" s="93"/>
      <c r="ES856" s="93"/>
      <c r="ET856" s="93"/>
      <c r="EU856" s="93"/>
      <c r="EV856" s="93"/>
      <c r="EW856" s="93"/>
      <c r="EX856" s="93"/>
      <c r="EY856" s="93"/>
      <c r="EZ856" s="93"/>
      <c r="FA856" s="93"/>
      <c r="FB856" s="93"/>
      <c r="FC856" s="93"/>
      <c r="FD856" s="93"/>
      <c r="FE856" s="93"/>
      <c r="FF856" s="93"/>
    </row>
    <row r="857" spans="1:162" ht="15.75" customHeight="1">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c r="CM857" s="93"/>
      <c r="CN857" s="93"/>
      <c r="CO857" s="93"/>
      <c r="CP857" s="93"/>
      <c r="CQ857" s="93"/>
      <c r="CR857" s="93"/>
      <c r="CS857" s="93"/>
      <c r="CT857" s="93"/>
      <c r="CU857" s="93"/>
      <c r="CV857" s="93"/>
      <c r="CW857" s="93"/>
      <c r="CX857" s="93"/>
      <c r="CY857" s="93"/>
      <c r="CZ857" s="93"/>
      <c r="DA857" s="93"/>
      <c r="DB857" s="93"/>
      <c r="DC857" s="93"/>
      <c r="DD857" s="93"/>
      <c r="DE857" s="93"/>
      <c r="DF857" s="93"/>
      <c r="DG857" s="93"/>
      <c r="DH857" s="93"/>
      <c r="DI857" s="93"/>
      <c r="DJ857" s="93"/>
      <c r="DK857" s="93"/>
      <c r="DL857" s="93"/>
      <c r="DM857" s="93"/>
      <c r="DN857" s="93"/>
      <c r="DO857" s="93"/>
      <c r="DP857" s="93"/>
      <c r="DQ857" s="93"/>
      <c r="DR857" s="93"/>
      <c r="DS857" s="93"/>
      <c r="DT857" s="93"/>
      <c r="DU857" s="93"/>
      <c r="DV857" s="93"/>
      <c r="DW857" s="93"/>
      <c r="DX857" s="93"/>
      <c r="DY857" s="93"/>
      <c r="DZ857" s="93"/>
      <c r="EA857" s="93"/>
      <c r="EB857" s="93"/>
      <c r="EC857" s="93"/>
      <c r="ED857" s="93"/>
      <c r="EE857" s="93"/>
      <c r="EF857" s="93"/>
      <c r="EG857" s="93"/>
      <c r="EH857" s="93"/>
      <c r="EI857" s="93"/>
      <c r="EJ857" s="93"/>
      <c r="EK857" s="93"/>
      <c r="EL857" s="93"/>
      <c r="EM857" s="93"/>
      <c r="EN857" s="93"/>
      <c r="EO857" s="93"/>
      <c r="EP857" s="93"/>
      <c r="EQ857" s="93"/>
      <c r="ER857" s="93"/>
      <c r="ES857" s="93"/>
      <c r="ET857" s="93"/>
      <c r="EU857" s="93"/>
      <c r="EV857" s="93"/>
      <c r="EW857" s="93"/>
      <c r="EX857" s="93"/>
      <c r="EY857" s="93"/>
      <c r="EZ857" s="93"/>
      <c r="FA857" s="93"/>
      <c r="FB857" s="93"/>
      <c r="FC857" s="93"/>
      <c r="FD857" s="93"/>
      <c r="FE857" s="93"/>
      <c r="FF857" s="93"/>
    </row>
    <row r="858" spans="1:162" ht="15.75" customHeight="1">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c r="CM858" s="93"/>
      <c r="CN858" s="93"/>
      <c r="CO858" s="93"/>
      <c r="CP858" s="93"/>
      <c r="CQ858" s="93"/>
      <c r="CR858" s="93"/>
      <c r="CS858" s="93"/>
      <c r="CT858" s="93"/>
      <c r="CU858" s="93"/>
      <c r="CV858" s="93"/>
      <c r="CW858" s="93"/>
      <c r="CX858" s="93"/>
      <c r="CY858" s="93"/>
      <c r="CZ858" s="93"/>
      <c r="DA858" s="93"/>
      <c r="DB858" s="93"/>
      <c r="DC858" s="93"/>
      <c r="DD858" s="93"/>
      <c r="DE858" s="93"/>
      <c r="DF858" s="93"/>
      <c r="DG858" s="93"/>
      <c r="DH858" s="93"/>
      <c r="DI858" s="93"/>
      <c r="DJ858" s="93"/>
      <c r="DK858" s="93"/>
      <c r="DL858" s="93"/>
      <c r="DM858" s="93"/>
      <c r="DN858" s="93"/>
      <c r="DO858" s="93"/>
      <c r="DP858" s="93"/>
      <c r="DQ858" s="93"/>
      <c r="DR858" s="93"/>
      <c r="DS858" s="93"/>
      <c r="DT858" s="93"/>
      <c r="DU858" s="93"/>
      <c r="DV858" s="93"/>
      <c r="DW858" s="93"/>
      <c r="DX858" s="93"/>
      <c r="DY858" s="93"/>
      <c r="DZ858" s="93"/>
      <c r="EA858" s="93"/>
      <c r="EB858" s="93"/>
      <c r="EC858" s="93"/>
      <c r="ED858" s="93"/>
      <c r="EE858" s="93"/>
      <c r="EF858" s="93"/>
      <c r="EG858" s="93"/>
      <c r="EH858" s="93"/>
      <c r="EI858" s="93"/>
      <c r="EJ858" s="93"/>
      <c r="EK858" s="93"/>
      <c r="EL858" s="93"/>
      <c r="EM858" s="93"/>
      <c r="EN858" s="93"/>
      <c r="EO858" s="93"/>
      <c r="EP858" s="93"/>
      <c r="EQ858" s="93"/>
      <c r="ER858" s="93"/>
      <c r="ES858" s="93"/>
      <c r="ET858" s="93"/>
      <c r="EU858" s="93"/>
      <c r="EV858" s="93"/>
      <c r="EW858" s="93"/>
      <c r="EX858" s="93"/>
      <c r="EY858" s="93"/>
      <c r="EZ858" s="93"/>
      <c r="FA858" s="93"/>
      <c r="FB858" s="93"/>
      <c r="FC858" s="93"/>
      <c r="FD858" s="93"/>
      <c r="FE858" s="93"/>
      <c r="FF858" s="93"/>
    </row>
    <row r="859" spans="1:162" ht="15.75" customHeight="1">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c r="CM859" s="93"/>
      <c r="CN859" s="93"/>
      <c r="CO859" s="93"/>
      <c r="CP859" s="93"/>
      <c r="CQ859" s="93"/>
      <c r="CR859" s="93"/>
      <c r="CS859" s="93"/>
      <c r="CT859" s="93"/>
      <c r="CU859" s="93"/>
      <c r="CV859" s="93"/>
      <c r="CW859" s="93"/>
      <c r="CX859" s="93"/>
      <c r="CY859" s="93"/>
      <c r="CZ859" s="93"/>
      <c r="DA859" s="93"/>
      <c r="DB859" s="93"/>
      <c r="DC859" s="93"/>
      <c r="DD859" s="93"/>
      <c r="DE859" s="93"/>
      <c r="DF859" s="93"/>
      <c r="DG859" s="93"/>
      <c r="DH859" s="93"/>
      <c r="DI859" s="93"/>
      <c r="DJ859" s="93"/>
      <c r="DK859" s="93"/>
      <c r="DL859" s="93"/>
      <c r="DM859" s="93"/>
      <c r="DN859" s="93"/>
      <c r="DO859" s="93"/>
      <c r="DP859" s="93"/>
      <c r="DQ859" s="93"/>
      <c r="DR859" s="93"/>
      <c r="DS859" s="93"/>
      <c r="DT859" s="93"/>
      <c r="DU859" s="93"/>
      <c r="DV859" s="93"/>
      <c r="DW859" s="93"/>
      <c r="DX859" s="93"/>
      <c r="DY859" s="93"/>
      <c r="DZ859" s="93"/>
      <c r="EA859" s="93"/>
      <c r="EB859" s="93"/>
      <c r="EC859" s="93"/>
      <c r="ED859" s="93"/>
      <c r="EE859" s="93"/>
      <c r="EF859" s="93"/>
      <c r="EG859" s="93"/>
      <c r="EH859" s="93"/>
      <c r="EI859" s="93"/>
      <c r="EJ859" s="93"/>
      <c r="EK859" s="93"/>
      <c r="EL859" s="93"/>
      <c r="EM859" s="93"/>
      <c r="EN859" s="93"/>
      <c r="EO859" s="93"/>
      <c r="EP859" s="93"/>
      <c r="EQ859" s="93"/>
      <c r="ER859" s="93"/>
      <c r="ES859" s="93"/>
      <c r="ET859" s="93"/>
      <c r="EU859" s="93"/>
      <c r="EV859" s="93"/>
      <c r="EW859" s="93"/>
      <c r="EX859" s="93"/>
      <c r="EY859" s="93"/>
      <c r="EZ859" s="93"/>
      <c r="FA859" s="93"/>
      <c r="FB859" s="93"/>
      <c r="FC859" s="93"/>
      <c r="FD859" s="93"/>
      <c r="FE859" s="93"/>
      <c r="FF859" s="93"/>
    </row>
    <row r="860" spans="1:162" ht="15.75" customHeight="1">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c r="CM860" s="93"/>
      <c r="CN860" s="93"/>
      <c r="CO860" s="93"/>
      <c r="CP860" s="93"/>
      <c r="CQ860" s="93"/>
      <c r="CR860" s="93"/>
      <c r="CS860" s="93"/>
      <c r="CT860" s="93"/>
      <c r="CU860" s="93"/>
      <c r="CV860" s="93"/>
      <c r="CW860" s="93"/>
      <c r="CX860" s="93"/>
      <c r="CY860" s="93"/>
      <c r="CZ860" s="93"/>
      <c r="DA860" s="93"/>
      <c r="DB860" s="93"/>
      <c r="DC860" s="93"/>
      <c r="DD860" s="93"/>
      <c r="DE860" s="93"/>
      <c r="DF860" s="93"/>
      <c r="DG860" s="93"/>
      <c r="DH860" s="93"/>
      <c r="DI860" s="93"/>
      <c r="DJ860" s="93"/>
      <c r="DK860" s="93"/>
      <c r="DL860" s="93"/>
      <c r="DM860" s="93"/>
      <c r="DN860" s="93"/>
      <c r="DO860" s="93"/>
      <c r="DP860" s="93"/>
      <c r="DQ860" s="93"/>
      <c r="DR860" s="93"/>
      <c r="DS860" s="93"/>
      <c r="DT860" s="93"/>
      <c r="DU860" s="93"/>
      <c r="DV860" s="93"/>
      <c r="DW860" s="93"/>
      <c r="DX860" s="93"/>
      <c r="DY860" s="93"/>
      <c r="DZ860" s="93"/>
      <c r="EA860" s="93"/>
      <c r="EB860" s="93"/>
      <c r="EC860" s="93"/>
      <c r="ED860" s="93"/>
      <c r="EE860" s="93"/>
      <c r="EF860" s="93"/>
      <c r="EG860" s="93"/>
      <c r="EH860" s="93"/>
      <c r="EI860" s="93"/>
      <c r="EJ860" s="93"/>
      <c r="EK860" s="93"/>
      <c r="EL860" s="93"/>
      <c r="EM860" s="93"/>
      <c r="EN860" s="93"/>
      <c r="EO860" s="93"/>
      <c r="EP860" s="93"/>
      <c r="EQ860" s="93"/>
      <c r="ER860" s="93"/>
      <c r="ES860" s="93"/>
      <c r="ET860" s="93"/>
      <c r="EU860" s="93"/>
      <c r="EV860" s="93"/>
      <c r="EW860" s="93"/>
      <c r="EX860" s="93"/>
      <c r="EY860" s="93"/>
      <c r="EZ860" s="93"/>
      <c r="FA860" s="93"/>
      <c r="FB860" s="93"/>
      <c r="FC860" s="93"/>
      <c r="FD860" s="93"/>
      <c r="FE860" s="93"/>
      <c r="FF860" s="93"/>
    </row>
    <row r="861" spans="1:162" ht="15.75" customHeight="1">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c r="CM861" s="93"/>
      <c r="CN861" s="93"/>
      <c r="CO861" s="93"/>
      <c r="CP861" s="93"/>
      <c r="CQ861" s="93"/>
      <c r="CR861" s="93"/>
      <c r="CS861" s="93"/>
      <c r="CT861" s="93"/>
      <c r="CU861" s="93"/>
      <c r="CV861" s="93"/>
      <c r="CW861" s="93"/>
      <c r="CX861" s="93"/>
      <c r="CY861" s="93"/>
      <c r="CZ861" s="93"/>
      <c r="DA861" s="93"/>
      <c r="DB861" s="93"/>
      <c r="DC861" s="93"/>
      <c r="DD861" s="93"/>
      <c r="DE861" s="93"/>
      <c r="DF861" s="93"/>
      <c r="DG861" s="93"/>
      <c r="DH861" s="93"/>
      <c r="DI861" s="93"/>
      <c r="DJ861" s="93"/>
      <c r="DK861" s="93"/>
      <c r="DL861" s="93"/>
      <c r="DM861" s="93"/>
      <c r="DN861" s="93"/>
      <c r="DO861" s="93"/>
      <c r="DP861" s="93"/>
      <c r="DQ861" s="93"/>
      <c r="DR861" s="93"/>
      <c r="DS861" s="93"/>
      <c r="DT861" s="93"/>
      <c r="DU861" s="93"/>
      <c r="DV861" s="93"/>
      <c r="DW861" s="93"/>
      <c r="DX861" s="93"/>
      <c r="DY861" s="93"/>
      <c r="DZ861" s="93"/>
      <c r="EA861" s="93"/>
      <c r="EB861" s="93"/>
      <c r="EC861" s="93"/>
      <c r="ED861" s="93"/>
      <c r="EE861" s="93"/>
      <c r="EF861" s="93"/>
      <c r="EG861" s="93"/>
      <c r="EH861" s="93"/>
      <c r="EI861" s="93"/>
      <c r="EJ861" s="93"/>
      <c r="EK861" s="93"/>
      <c r="EL861" s="93"/>
      <c r="EM861" s="93"/>
      <c r="EN861" s="93"/>
      <c r="EO861" s="93"/>
      <c r="EP861" s="93"/>
      <c r="EQ861" s="93"/>
      <c r="ER861" s="93"/>
      <c r="ES861" s="93"/>
      <c r="ET861" s="93"/>
      <c r="EU861" s="93"/>
      <c r="EV861" s="93"/>
      <c r="EW861" s="93"/>
      <c r="EX861" s="93"/>
      <c r="EY861" s="93"/>
      <c r="EZ861" s="93"/>
      <c r="FA861" s="93"/>
      <c r="FB861" s="93"/>
      <c r="FC861" s="93"/>
      <c r="FD861" s="93"/>
      <c r="FE861" s="93"/>
      <c r="FF861" s="93"/>
    </row>
    <row r="862" spans="1:162" ht="15.75" customHeight="1">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c r="CM862" s="93"/>
      <c r="CN862" s="93"/>
      <c r="CO862" s="93"/>
      <c r="CP862" s="93"/>
      <c r="CQ862" s="93"/>
      <c r="CR862" s="93"/>
      <c r="CS862" s="93"/>
      <c r="CT862" s="93"/>
      <c r="CU862" s="93"/>
      <c r="CV862" s="93"/>
      <c r="CW862" s="93"/>
      <c r="CX862" s="93"/>
      <c r="CY862" s="93"/>
      <c r="CZ862" s="93"/>
      <c r="DA862" s="93"/>
      <c r="DB862" s="93"/>
      <c r="DC862" s="93"/>
      <c r="DD862" s="93"/>
      <c r="DE862" s="93"/>
      <c r="DF862" s="93"/>
      <c r="DG862" s="93"/>
      <c r="DH862" s="93"/>
      <c r="DI862" s="93"/>
      <c r="DJ862" s="93"/>
      <c r="DK862" s="93"/>
      <c r="DL862" s="93"/>
      <c r="DM862" s="93"/>
      <c r="DN862" s="93"/>
      <c r="DO862" s="93"/>
      <c r="DP862" s="93"/>
      <c r="DQ862" s="93"/>
      <c r="DR862" s="93"/>
      <c r="DS862" s="93"/>
      <c r="DT862" s="93"/>
      <c r="DU862" s="93"/>
      <c r="DV862" s="93"/>
      <c r="DW862" s="93"/>
      <c r="DX862" s="93"/>
      <c r="DY862" s="93"/>
      <c r="DZ862" s="93"/>
      <c r="EA862" s="93"/>
      <c r="EB862" s="93"/>
      <c r="EC862" s="93"/>
      <c r="ED862" s="93"/>
      <c r="EE862" s="93"/>
      <c r="EF862" s="93"/>
      <c r="EG862" s="93"/>
      <c r="EH862" s="93"/>
      <c r="EI862" s="93"/>
      <c r="EJ862" s="93"/>
      <c r="EK862" s="93"/>
      <c r="EL862" s="93"/>
      <c r="EM862" s="93"/>
      <c r="EN862" s="93"/>
      <c r="EO862" s="93"/>
      <c r="EP862" s="93"/>
      <c r="EQ862" s="93"/>
      <c r="ER862" s="93"/>
      <c r="ES862" s="93"/>
      <c r="ET862" s="93"/>
      <c r="EU862" s="93"/>
      <c r="EV862" s="93"/>
      <c r="EW862" s="93"/>
      <c r="EX862" s="93"/>
      <c r="EY862" s="93"/>
      <c r="EZ862" s="93"/>
      <c r="FA862" s="93"/>
      <c r="FB862" s="93"/>
      <c r="FC862" s="93"/>
      <c r="FD862" s="93"/>
      <c r="FE862" s="93"/>
      <c r="FF862" s="93"/>
    </row>
    <row r="863" spans="1:162" ht="15.75" customHeight="1">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c r="CM863" s="93"/>
      <c r="CN863" s="93"/>
      <c r="CO863" s="93"/>
      <c r="CP863" s="93"/>
      <c r="CQ863" s="93"/>
      <c r="CR863" s="93"/>
      <c r="CS863" s="93"/>
      <c r="CT863" s="93"/>
      <c r="CU863" s="93"/>
      <c r="CV863" s="93"/>
      <c r="CW863" s="93"/>
      <c r="CX863" s="93"/>
      <c r="CY863" s="93"/>
      <c r="CZ863" s="93"/>
      <c r="DA863" s="93"/>
      <c r="DB863" s="93"/>
      <c r="DC863" s="93"/>
      <c r="DD863" s="93"/>
      <c r="DE863" s="93"/>
      <c r="DF863" s="93"/>
      <c r="DG863" s="93"/>
      <c r="DH863" s="93"/>
      <c r="DI863" s="93"/>
      <c r="DJ863" s="93"/>
      <c r="DK863" s="93"/>
      <c r="DL863" s="93"/>
      <c r="DM863" s="93"/>
      <c r="DN863" s="93"/>
      <c r="DO863" s="93"/>
      <c r="DP863" s="93"/>
      <c r="DQ863" s="93"/>
      <c r="DR863" s="93"/>
      <c r="DS863" s="93"/>
      <c r="DT863" s="93"/>
      <c r="DU863" s="93"/>
      <c r="DV863" s="93"/>
      <c r="DW863" s="93"/>
      <c r="DX863" s="93"/>
      <c r="DY863" s="93"/>
      <c r="DZ863" s="93"/>
      <c r="EA863" s="93"/>
      <c r="EB863" s="93"/>
      <c r="EC863" s="93"/>
      <c r="ED863" s="93"/>
      <c r="EE863" s="93"/>
      <c r="EF863" s="93"/>
      <c r="EG863" s="93"/>
      <c r="EH863" s="93"/>
      <c r="EI863" s="93"/>
      <c r="EJ863" s="93"/>
      <c r="EK863" s="93"/>
      <c r="EL863" s="93"/>
      <c r="EM863" s="93"/>
      <c r="EN863" s="93"/>
      <c r="EO863" s="93"/>
      <c r="EP863" s="93"/>
      <c r="EQ863" s="93"/>
      <c r="ER863" s="93"/>
      <c r="ES863" s="93"/>
      <c r="ET863" s="93"/>
      <c r="EU863" s="93"/>
      <c r="EV863" s="93"/>
      <c r="EW863" s="93"/>
      <c r="EX863" s="93"/>
      <c r="EY863" s="93"/>
      <c r="EZ863" s="93"/>
      <c r="FA863" s="93"/>
      <c r="FB863" s="93"/>
      <c r="FC863" s="93"/>
      <c r="FD863" s="93"/>
      <c r="FE863" s="93"/>
      <c r="FF863" s="93"/>
    </row>
    <row r="864" spans="1:162" ht="15.75" customHeight="1">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c r="BS864" s="93"/>
      <c r="BT864" s="93"/>
      <c r="BU864" s="93"/>
      <c r="BV864" s="93"/>
      <c r="BW864" s="93"/>
      <c r="BX864" s="93"/>
      <c r="BY864" s="93"/>
      <c r="BZ864" s="93"/>
      <c r="CA864" s="93"/>
      <c r="CB864" s="93"/>
      <c r="CC864" s="93"/>
      <c r="CD864" s="93"/>
      <c r="CE864" s="93"/>
      <c r="CF864" s="93"/>
      <c r="CG864" s="93"/>
      <c r="CH864" s="93"/>
      <c r="CI864" s="93"/>
      <c r="CJ864" s="93"/>
      <c r="CK864" s="93"/>
      <c r="CL864" s="93"/>
      <c r="CM864" s="93"/>
      <c r="CN864" s="93"/>
      <c r="CO864" s="93"/>
      <c r="CP864" s="93"/>
      <c r="CQ864" s="93"/>
      <c r="CR864" s="93"/>
      <c r="CS864" s="93"/>
      <c r="CT864" s="93"/>
      <c r="CU864" s="93"/>
      <c r="CV864" s="93"/>
      <c r="CW864" s="93"/>
      <c r="CX864" s="93"/>
      <c r="CY864" s="93"/>
      <c r="CZ864" s="93"/>
      <c r="DA864" s="93"/>
      <c r="DB864" s="93"/>
      <c r="DC864" s="93"/>
      <c r="DD864" s="93"/>
      <c r="DE864" s="93"/>
      <c r="DF864" s="93"/>
      <c r="DG864" s="93"/>
      <c r="DH864" s="93"/>
      <c r="DI864" s="93"/>
      <c r="DJ864" s="93"/>
      <c r="DK864" s="93"/>
      <c r="DL864" s="93"/>
      <c r="DM864" s="93"/>
      <c r="DN864" s="93"/>
      <c r="DO864" s="93"/>
      <c r="DP864" s="93"/>
      <c r="DQ864" s="93"/>
      <c r="DR864" s="93"/>
      <c r="DS864" s="93"/>
      <c r="DT864" s="93"/>
      <c r="DU864" s="93"/>
      <c r="DV864" s="93"/>
      <c r="DW864" s="93"/>
      <c r="DX864" s="93"/>
      <c r="DY864" s="93"/>
      <c r="DZ864" s="93"/>
      <c r="EA864" s="93"/>
      <c r="EB864" s="93"/>
      <c r="EC864" s="93"/>
      <c r="ED864" s="93"/>
      <c r="EE864" s="93"/>
      <c r="EF864" s="93"/>
      <c r="EG864" s="93"/>
      <c r="EH864" s="93"/>
      <c r="EI864" s="93"/>
      <c r="EJ864" s="93"/>
      <c r="EK864" s="93"/>
      <c r="EL864" s="93"/>
      <c r="EM864" s="93"/>
      <c r="EN864" s="93"/>
      <c r="EO864" s="93"/>
      <c r="EP864" s="93"/>
      <c r="EQ864" s="93"/>
      <c r="ER864" s="93"/>
      <c r="ES864" s="93"/>
      <c r="ET864" s="93"/>
      <c r="EU864" s="93"/>
      <c r="EV864" s="93"/>
      <c r="EW864" s="93"/>
      <c r="EX864" s="93"/>
      <c r="EY864" s="93"/>
      <c r="EZ864" s="93"/>
      <c r="FA864" s="93"/>
      <c r="FB864" s="93"/>
      <c r="FC864" s="93"/>
      <c r="FD864" s="93"/>
      <c r="FE864" s="93"/>
      <c r="FF864" s="93"/>
    </row>
    <row r="865" spans="1:162" ht="15.75" customHeight="1">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c r="BS865" s="93"/>
      <c r="BT865" s="93"/>
      <c r="BU865" s="93"/>
      <c r="BV865" s="93"/>
      <c r="BW865" s="93"/>
      <c r="BX865" s="93"/>
      <c r="BY865" s="93"/>
      <c r="BZ865" s="93"/>
      <c r="CA865" s="93"/>
      <c r="CB865" s="93"/>
      <c r="CC865" s="93"/>
      <c r="CD865" s="93"/>
      <c r="CE865" s="93"/>
      <c r="CF865" s="93"/>
      <c r="CG865" s="93"/>
      <c r="CH865" s="93"/>
      <c r="CI865" s="93"/>
      <c r="CJ865" s="93"/>
      <c r="CK865" s="93"/>
      <c r="CL865" s="93"/>
      <c r="CM865" s="93"/>
      <c r="CN865" s="93"/>
      <c r="CO865" s="93"/>
      <c r="CP865" s="93"/>
      <c r="CQ865" s="93"/>
      <c r="CR865" s="93"/>
      <c r="CS865" s="93"/>
      <c r="CT865" s="93"/>
      <c r="CU865" s="93"/>
      <c r="CV865" s="93"/>
      <c r="CW865" s="93"/>
      <c r="CX865" s="93"/>
      <c r="CY865" s="93"/>
      <c r="CZ865" s="93"/>
      <c r="DA865" s="93"/>
      <c r="DB865" s="93"/>
      <c r="DC865" s="93"/>
      <c r="DD865" s="93"/>
      <c r="DE865" s="93"/>
      <c r="DF865" s="93"/>
      <c r="DG865" s="93"/>
      <c r="DH865" s="93"/>
      <c r="DI865" s="93"/>
      <c r="DJ865" s="93"/>
      <c r="DK865" s="93"/>
      <c r="DL865" s="93"/>
      <c r="DM865" s="93"/>
      <c r="DN865" s="93"/>
      <c r="DO865" s="93"/>
      <c r="DP865" s="93"/>
      <c r="DQ865" s="93"/>
      <c r="DR865" s="93"/>
      <c r="DS865" s="93"/>
      <c r="DT865" s="93"/>
      <c r="DU865" s="93"/>
      <c r="DV865" s="93"/>
      <c r="DW865" s="93"/>
      <c r="DX865" s="93"/>
      <c r="DY865" s="93"/>
      <c r="DZ865" s="93"/>
      <c r="EA865" s="93"/>
      <c r="EB865" s="93"/>
      <c r="EC865" s="93"/>
      <c r="ED865" s="93"/>
      <c r="EE865" s="93"/>
      <c r="EF865" s="93"/>
      <c r="EG865" s="93"/>
      <c r="EH865" s="93"/>
      <c r="EI865" s="93"/>
      <c r="EJ865" s="93"/>
      <c r="EK865" s="93"/>
      <c r="EL865" s="93"/>
      <c r="EM865" s="93"/>
      <c r="EN865" s="93"/>
      <c r="EO865" s="93"/>
      <c r="EP865" s="93"/>
      <c r="EQ865" s="93"/>
      <c r="ER865" s="93"/>
      <c r="ES865" s="93"/>
      <c r="ET865" s="93"/>
      <c r="EU865" s="93"/>
      <c r="EV865" s="93"/>
      <c r="EW865" s="93"/>
      <c r="EX865" s="93"/>
      <c r="EY865" s="93"/>
      <c r="EZ865" s="93"/>
      <c r="FA865" s="93"/>
      <c r="FB865" s="93"/>
      <c r="FC865" s="93"/>
      <c r="FD865" s="93"/>
      <c r="FE865" s="93"/>
      <c r="FF865" s="93"/>
    </row>
    <row r="866" spans="1:162" ht="15.75" customHeight="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c r="CM866" s="93"/>
      <c r="CN866" s="93"/>
      <c r="CO866" s="93"/>
      <c r="CP866" s="93"/>
      <c r="CQ866" s="93"/>
      <c r="CR866" s="93"/>
      <c r="CS866" s="93"/>
      <c r="CT866" s="93"/>
      <c r="CU866" s="93"/>
      <c r="CV866" s="93"/>
      <c r="CW866" s="93"/>
      <c r="CX866" s="93"/>
      <c r="CY866" s="93"/>
      <c r="CZ866" s="93"/>
      <c r="DA866" s="93"/>
      <c r="DB866" s="93"/>
      <c r="DC866" s="93"/>
      <c r="DD866" s="93"/>
      <c r="DE866" s="93"/>
      <c r="DF866" s="93"/>
      <c r="DG866" s="93"/>
      <c r="DH866" s="93"/>
      <c r="DI866" s="93"/>
      <c r="DJ866" s="93"/>
      <c r="DK866" s="93"/>
      <c r="DL866" s="93"/>
      <c r="DM866" s="93"/>
      <c r="DN866" s="93"/>
      <c r="DO866" s="93"/>
      <c r="DP866" s="93"/>
      <c r="DQ866" s="93"/>
      <c r="DR866" s="93"/>
      <c r="DS866" s="93"/>
      <c r="DT866" s="93"/>
      <c r="DU866" s="93"/>
      <c r="DV866" s="93"/>
      <c r="DW866" s="93"/>
      <c r="DX866" s="93"/>
      <c r="DY866" s="93"/>
      <c r="DZ866" s="93"/>
      <c r="EA866" s="93"/>
      <c r="EB866" s="93"/>
      <c r="EC866" s="93"/>
      <c r="ED866" s="93"/>
      <c r="EE866" s="93"/>
      <c r="EF866" s="93"/>
      <c r="EG866" s="93"/>
      <c r="EH866" s="93"/>
      <c r="EI866" s="93"/>
      <c r="EJ866" s="93"/>
      <c r="EK866" s="93"/>
      <c r="EL866" s="93"/>
      <c r="EM866" s="93"/>
      <c r="EN866" s="93"/>
      <c r="EO866" s="93"/>
      <c r="EP866" s="93"/>
      <c r="EQ866" s="93"/>
      <c r="ER866" s="93"/>
      <c r="ES866" s="93"/>
      <c r="ET866" s="93"/>
      <c r="EU866" s="93"/>
      <c r="EV866" s="93"/>
      <c r="EW866" s="93"/>
      <c r="EX866" s="93"/>
      <c r="EY866" s="93"/>
      <c r="EZ866" s="93"/>
      <c r="FA866" s="93"/>
      <c r="FB866" s="93"/>
      <c r="FC866" s="93"/>
      <c r="FD866" s="93"/>
      <c r="FE866" s="93"/>
      <c r="FF866" s="93"/>
    </row>
    <row r="867" spans="1:162" ht="15.75" customHeight="1">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c r="BS867" s="93"/>
      <c r="BT867" s="93"/>
      <c r="BU867" s="93"/>
      <c r="BV867" s="93"/>
      <c r="BW867" s="93"/>
      <c r="BX867" s="93"/>
      <c r="BY867" s="93"/>
      <c r="BZ867" s="93"/>
      <c r="CA867" s="93"/>
      <c r="CB867" s="93"/>
      <c r="CC867" s="93"/>
      <c r="CD867" s="93"/>
      <c r="CE867" s="93"/>
      <c r="CF867" s="93"/>
      <c r="CG867" s="93"/>
      <c r="CH867" s="93"/>
      <c r="CI867" s="93"/>
      <c r="CJ867" s="93"/>
      <c r="CK867" s="93"/>
      <c r="CL867" s="93"/>
      <c r="CM867" s="93"/>
      <c r="CN867" s="93"/>
      <c r="CO867" s="93"/>
      <c r="CP867" s="93"/>
      <c r="CQ867" s="93"/>
      <c r="CR867" s="93"/>
      <c r="CS867" s="93"/>
      <c r="CT867" s="93"/>
      <c r="CU867" s="93"/>
      <c r="CV867" s="93"/>
      <c r="CW867" s="93"/>
      <c r="CX867" s="93"/>
      <c r="CY867" s="93"/>
      <c r="CZ867" s="93"/>
      <c r="DA867" s="93"/>
      <c r="DB867" s="93"/>
      <c r="DC867" s="93"/>
      <c r="DD867" s="93"/>
      <c r="DE867" s="93"/>
      <c r="DF867" s="93"/>
      <c r="DG867" s="93"/>
      <c r="DH867" s="93"/>
      <c r="DI867" s="93"/>
      <c r="DJ867" s="93"/>
      <c r="DK867" s="93"/>
      <c r="DL867" s="93"/>
      <c r="DM867" s="93"/>
      <c r="DN867" s="93"/>
      <c r="DO867" s="93"/>
      <c r="DP867" s="93"/>
      <c r="DQ867" s="93"/>
      <c r="DR867" s="93"/>
      <c r="DS867" s="93"/>
      <c r="DT867" s="93"/>
      <c r="DU867" s="93"/>
      <c r="DV867" s="93"/>
      <c r="DW867" s="93"/>
      <c r="DX867" s="93"/>
      <c r="DY867" s="93"/>
      <c r="DZ867" s="93"/>
      <c r="EA867" s="93"/>
      <c r="EB867" s="93"/>
      <c r="EC867" s="93"/>
      <c r="ED867" s="93"/>
      <c r="EE867" s="93"/>
      <c r="EF867" s="93"/>
      <c r="EG867" s="93"/>
      <c r="EH867" s="93"/>
      <c r="EI867" s="93"/>
      <c r="EJ867" s="93"/>
      <c r="EK867" s="93"/>
      <c r="EL867" s="93"/>
      <c r="EM867" s="93"/>
      <c r="EN867" s="93"/>
      <c r="EO867" s="93"/>
      <c r="EP867" s="93"/>
      <c r="EQ867" s="93"/>
      <c r="ER867" s="93"/>
      <c r="ES867" s="93"/>
      <c r="ET867" s="93"/>
      <c r="EU867" s="93"/>
      <c r="EV867" s="93"/>
      <c r="EW867" s="93"/>
      <c r="EX867" s="93"/>
      <c r="EY867" s="93"/>
      <c r="EZ867" s="93"/>
      <c r="FA867" s="93"/>
      <c r="FB867" s="93"/>
      <c r="FC867" s="93"/>
      <c r="FD867" s="93"/>
      <c r="FE867" s="93"/>
      <c r="FF867" s="93"/>
    </row>
    <row r="868" spans="1:162" ht="15.75" customHeight="1">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3"/>
      <c r="CD868" s="93"/>
      <c r="CE868" s="93"/>
      <c r="CF868" s="93"/>
      <c r="CG868" s="93"/>
      <c r="CH868" s="93"/>
      <c r="CI868" s="93"/>
      <c r="CJ868" s="93"/>
      <c r="CK868" s="93"/>
      <c r="CL868" s="93"/>
      <c r="CM868" s="93"/>
      <c r="CN868" s="93"/>
      <c r="CO868" s="93"/>
      <c r="CP868" s="93"/>
      <c r="CQ868" s="93"/>
      <c r="CR868" s="93"/>
      <c r="CS868" s="93"/>
      <c r="CT868" s="93"/>
      <c r="CU868" s="93"/>
      <c r="CV868" s="93"/>
      <c r="CW868" s="93"/>
      <c r="CX868" s="93"/>
      <c r="CY868" s="93"/>
      <c r="CZ868" s="93"/>
      <c r="DA868" s="93"/>
      <c r="DB868" s="93"/>
      <c r="DC868" s="93"/>
      <c r="DD868" s="93"/>
      <c r="DE868" s="93"/>
      <c r="DF868" s="93"/>
      <c r="DG868" s="93"/>
      <c r="DH868" s="93"/>
      <c r="DI868" s="93"/>
      <c r="DJ868" s="93"/>
      <c r="DK868" s="93"/>
      <c r="DL868" s="93"/>
      <c r="DM868" s="93"/>
      <c r="DN868" s="93"/>
      <c r="DO868" s="93"/>
      <c r="DP868" s="93"/>
      <c r="DQ868" s="93"/>
      <c r="DR868" s="93"/>
      <c r="DS868" s="93"/>
      <c r="DT868" s="93"/>
      <c r="DU868" s="93"/>
      <c r="DV868" s="93"/>
      <c r="DW868" s="93"/>
      <c r="DX868" s="93"/>
      <c r="DY868" s="93"/>
      <c r="DZ868" s="93"/>
      <c r="EA868" s="93"/>
      <c r="EB868" s="93"/>
      <c r="EC868" s="93"/>
      <c r="ED868" s="93"/>
      <c r="EE868" s="93"/>
      <c r="EF868" s="93"/>
      <c r="EG868" s="93"/>
      <c r="EH868" s="93"/>
      <c r="EI868" s="93"/>
      <c r="EJ868" s="93"/>
      <c r="EK868" s="93"/>
      <c r="EL868" s="93"/>
      <c r="EM868" s="93"/>
      <c r="EN868" s="93"/>
      <c r="EO868" s="93"/>
      <c r="EP868" s="93"/>
      <c r="EQ868" s="93"/>
      <c r="ER868" s="93"/>
      <c r="ES868" s="93"/>
      <c r="ET868" s="93"/>
      <c r="EU868" s="93"/>
      <c r="EV868" s="93"/>
      <c r="EW868" s="93"/>
      <c r="EX868" s="93"/>
      <c r="EY868" s="93"/>
      <c r="EZ868" s="93"/>
      <c r="FA868" s="93"/>
      <c r="FB868" s="93"/>
      <c r="FC868" s="93"/>
      <c r="FD868" s="93"/>
      <c r="FE868" s="93"/>
      <c r="FF868" s="93"/>
    </row>
    <row r="869" spans="1:162" ht="15.75" customHeight="1">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c r="CM869" s="93"/>
      <c r="CN869" s="93"/>
      <c r="CO869" s="93"/>
      <c r="CP869" s="93"/>
      <c r="CQ869" s="93"/>
      <c r="CR869" s="93"/>
      <c r="CS869" s="93"/>
      <c r="CT869" s="93"/>
      <c r="CU869" s="93"/>
      <c r="CV869" s="93"/>
      <c r="CW869" s="93"/>
      <c r="CX869" s="93"/>
      <c r="CY869" s="93"/>
      <c r="CZ869" s="93"/>
      <c r="DA869" s="93"/>
      <c r="DB869" s="93"/>
      <c r="DC869" s="93"/>
      <c r="DD869" s="93"/>
      <c r="DE869" s="93"/>
      <c r="DF869" s="93"/>
      <c r="DG869" s="93"/>
      <c r="DH869" s="93"/>
      <c r="DI869" s="93"/>
      <c r="DJ869" s="93"/>
      <c r="DK869" s="93"/>
      <c r="DL869" s="93"/>
      <c r="DM869" s="93"/>
      <c r="DN869" s="93"/>
      <c r="DO869" s="93"/>
      <c r="DP869" s="93"/>
      <c r="DQ869" s="93"/>
      <c r="DR869" s="93"/>
      <c r="DS869" s="93"/>
      <c r="DT869" s="93"/>
      <c r="DU869" s="93"/>
      <c r="DV869" s="93"/>
      <c r="DW869" s="93"/>
      <c r="DX869" s="93"/>
      <c r="DY869" s="93"/>
      <c r="DZ869" s="93"/>
      <c r="EA869" s="93"/>
      <c r="EB869" s="93"/>
      <c r="EC869" s="93"/>
      <c r="ED869" s="93"/>
      <c r="EE869" s="93"/>
      <c r="EF869" s="93"/>
      <c r="EG869" s="93"/>
      <c r="EH869" s="93"/>
      <c r="EI869" s="93"/>
      <c r="EJ869" s="93"/>
      <c r="EK869" s="93"/>
      <c r="EL869" s="93"/>
      <c r="EM869" s="93"/>
      <c r="EN869" s="93"/>
      <c r="EO869" s="93"/>
      <c r="EP869" s="93"/>
      <c r="EQ869" s="93"/>
      <c r="ER869" s="93"/>
      <c r="ES869" s="93"/>
      <c r="ET869" s="93"/>
      <c r="EU869" s="93"/>
      <c r="EV869" s="93"/>
      <c r="EW869" s="93"/>
      <c r="EX869" s="93"/>
      <c r="EY869" s="93"/>
      <c r="EZ869" s="93"/>
      <c r="FA869" s="93"/>
      <c r="FB869" s="93"/>
      <c r="FC869" s="93"/>
      <c r="FD869" s="93"/>
      <c r="FE869" s="93"/>
      <c r="FF869" s="93"/>
    </row>
    <row r="870" spans="1:162" ht="15.75" customHeight="1">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c r="CM870" s="93"/>
      <c r="CN870" s="93"/>
      <c r="CO870" s="93"/>
      <c r="CP870" s="93"/>
      <c r="CQ870" s="93"/>
      <c r="CR870" s="93"/>
      <c r="CS870" s="93"/>
      <c r="CT870" s="93"/>
      <c r="CU870" s="93"/>
      <c r="CV870" s="93"/>
      <c r="CW870" s="93"/>
      <c r="CX870" s="93"/>
      <c r="CY870" s="93"/>
      <c r="CZ870" s="93"/>
      <c r="DA870" s="93"/>
      <c r="DB870" s="93"/>
      <c r="DC870" s="93"/>
      <c r="DD870" s="93"/>
      <c r="DE870" s="93"/>
      <c r="DF870" s="93"/>
      <c r="DG870" s="93"/>
      <c r="DH870" s="93"/>
      <c r="DI870" s="93"/>
      <c r="DJ870" s="93"/>
      <c r="DK870" s="93"/>
      <c r="DL870" s="93"/>
      <c r="DM870" s="93"/>
      <c r="DN870" s="93"/>
      <c r="DO870" s="93"/>
      <c r="DP870" s="93"/>
      <c r="DQ870" s="93"/>
      <c r="DR870" s="93"/>
      <c r="DS870" s="93"/>
      <c r="DT870" s="93"/>
      <c r="DU870" s="93"/>
      <c r="DV870" s="93"/>
      <c r="DW870" s="93"/>
      <c r="DX870" s="93"/>
      <c r="DY870" s="93"/>
      <c r="DZ870" s="93"/>
      <c r="EA870" s="93"/>
      <c r="EB870" s="93"/>
      <c r="EC870" s="93"/>
      <c r="ED870" s="93"/>
      <c r="EE870" s="93"/>
      <c r="EF870" s="93"/>
      <c r="EG870" s="93"/>
      <c r="EH870" s="93"/>
      <c r="EI870" s="93"/>
      <c r="EJ870" s="93"/>
      <c r="EK870" s="93"/>
      <c r="EL870" s="93"/>
      <c r="EM870" s="93"/>
      <c r="EN870" s="93"/>
      <c r="EO870" s="93"/>
      <c r="EP870" s="93"/>
      <c r="EQ870" s="93"/>
      <c r="ER870" s="93"/>
      <c r="ES870" s="93"/>
      <c r="ET870" s="93"/>
      <c r="EU870" s="93"/>
      <c r="EV870" s="93"/>
      <c r="EW870" s="93"/>
      <c r="EX870" s="93"/>
      <c r="EY870" s="93"/>
      <c r="EZ870" s="93"/>
      <c r="FA870" s="93"/>
      <c r="FB870" s="93"/>
      <c r="FC870" s="93"/>
      <c r="FD870" s="93"/>
      <c r="FE870" s="93"/>
      <c r="FF870" s="93"/>
    </row>
    <row r="871" spans="1:162" ht="15.75" customHeight="1">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c r="BS871" s="93"/>
      <c r="BT871" s="93"/>
      <c r="BU871" s="93"/>
      <c r="BV871" s="93"/>
      <c r="BW871" s="93"/>
      <c r="BX871" s="93"/>
      <c r="BY871" s="93"/>
      <c r="BZ871" s="93"/>
      <c r="CA871" s="93"/>
      <c r="CB871" s="93"/>
      <c r="CC871" s="93"/>
      <c r="CD871" s="93"/>
      <c r="CE871" s="93"/>
      <c r="CF871" s="93"/>
      <c r="CG871" s="93"/>
      <c r="CH871" s="93"/>
      <c r="CI871" s="93"/>
      <c r="CJ871" s="93"/>
      <c r="CK871" s="93"/>
      <c r="CL871" s="93"/>
      <c r="CM871" s="93"/>
      <c r="CN871" s="93"/>
      <c r="CO871" s="93"/>
      <c r="CP871" s="93"/>
      <c r="CQ871" s="93"/>
      <c r="CR871" s="93"/>
      <c r="CS871" s="93"/>
      <c r="CT871" s="93"/>
      <c r="CU871" s="93"/>
      <c r="CV871" s="93"/>
      <c r="CW871" s="93"/>
      <c r="CX871" s="93"/>
      <c r="CY871" s="93"/>
      <c r="CZ871" s="93"/>
      <c r="DA871" s="93"/>
      <c r="DB871" s="93"/>
      <c r="DC871" s="93"/>
      <c r="DD871" s="93"/>
      <c r="DE871" s="93"/>
      <c r="DF871" s="93"/>
      <c r="DG871" s="93"/>
      <c r="DH871" s="93"/>
      <c r="DI871" s="93"/>
      <c r="DJ871" s="93"/>
      <c r="DK871" s="93"/>
      <c r="DL871" s="93"/>
      <c r="DM871" s="93"/>
      <c r="DN871" s="93"/>
      <c r="DO871" s="93"/>
      <c r="DP871" s="93"/>
      <c r="DQ871" s="93"/>
      <c r="DR871" s="93"/>
      <c r="DS871" s="93"/>
      <c r="DT871" s="93"/>
      <c r="DU871" s="93"/>
      <c r="DV871" s="93"/>
      <c r="DW871" s="93"/>
      <c r="DX871" s="93"/>
      <c r="DY871" s="93"/>
      <c r="DZ871" s="93"/>
      <c r="EA871" s="93"/>
      <c r="EB871" s="93"/>
      <c r="EC871" s="93"/>
      <c r="ED871" s="93"/>
      <c r="EE871" s="93"/>
      <c r="EF871" s="93"/>
      <c r="EG871" s="93"/>
      <c r="EH871" s="93"/>
      <c r="EI871" s="93"/>
      <c r="EJ871" s="93"/>
      <c r="EK871" s="93"/>
      <c r="EL871" s="93"/>
      <c r="EM871" s="93"/>
      <c r="EN871" s="93"/>
      <c r="EO871" s="93"/>
      <c r="EP871" s="93"/>
      <c r="EQ871" s="93"/>
      <c r="ER871" s="93"/>
      <c r="ES871" s="93"/>
      <c r="ET871" s="93"/>
      <c r="EU871" s="93"/>
      <c r="EV871" s="93"/>
      <c r="EW871" s="93"/>
      <c r="EX871" s="93"/>
      <c r="EY871" s="93"/>
      <c r="EZ871" s="93"/>
      <c r="FA871" s="93"/>
      <c r="FB871" s="93"/>
      <c r="FC871" s="93"/>
      <c r="FD871" s="93"/>
      <c r="FE871" s="93"/>
      <c r="FF871" s="93"/>
    </row>
    <row r="872" spans="1:162" ht="15.75" customHeight="1">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c r="BS872" s="93"/>
      <c r="BT872" s="93"/>
      <c r="BU872" s="93"/>
      <c r="BV872" s="93"/>
      <c r="BW872" s="93"/>
      <c r="BX872" s="93"/>
      <c r="BY872" s="93"/>
      <c r="BZ872" s="93"/>
      <c r="CA872" s="93"/>
      <c r="CB872" s="93"/>
      <c r="CC872" s="93"/>
      <c r="CD872" s="93"/>
      <c r="CE872" s="93"/>
      <c r="CF872" s="93"/>
      <c r="CG872" s="93"/>
      <c r="CH872" s="93"/>
      <c r="CI872" s="93"/>
      <c r="CJ872" s="93"/>
      <c r="CK872" s="93"/>
      <c r="CL872" s="93"/>
      <c r="CM872" s="93"/>
      <c r="CN872" s="93"/>
      <c r="CO872" s="93"/>
      <c r="CP872" s="93"/>
      <c r="CQ872" s="93"/>
      <c r="CR872" s="93"/>
      <c r="CS872" s="93"/>
      <c r="CT872" s="93"/>
      <c r="CU872" s="93"/>
      <c r="CV872" s="93"/>
      <c r="CW872" s="93"/>
      <c r="CX872" s="93"/>
      <c r="CY872" s="93"/>
      <c r="CZ872" s="93"/>
      <c r="DA872" s="93"/>
      <c r="DB872" s="93"/>
      <c r="DC872" s="93"/>
      <c r="DD872" s="93"/>
      <c r="DE872" s="93"/>
      <c r="DF872" s="93"/>
      <c r="DG872" s="93"/>
      <c r="DH872" s="93"/>
      <c r="DI872" s="93"/>
      <c r="DJ872" s="93"/>
      <c r="DK872" s="93"/>
      <c r="DL872" s="93"/>
      <c r="DM872" s="93"/>
      <c r="DN872" s="93"/>
      <c r="DO872" s="93"/>
      <c r="DP872" s="93"/>
      <c r="DQ872" s="93"/>
      <c r="DR872" s="93"/>
      <c r="DS872" s="93"/>
      <c r="DT872" s="93"/>
      <c r="DU872" s="93"/>
      <c r="DV872" s="93"/>
      <c r="DW872" s="93"/>
      <c r="DX872" s="93"/>
      <c r="DY872" s="93"/>
      <c r="DZ872" s="93"/>
      <c r="EA872" s="93"/>
      <c r="EB872" s="93"/>
      <c r="EC872" s="93"/>
      <c r="ED872" s="93"/>
      <c r="EE872" s="93"/>
      <c r="EF872" s="93"/>
      <c r="EG872" s="93"/>
      <c r="EH872" s="93"/>
      <c r="EI872" s="93"/>
      <c r="EJ872" s="93"/>
      <c r="EK872" s="93"/>
      <c r="EL872" s="93"/>
      <c r="EM872" s="93"/>
      <c r="EN872" s="93"/>
      <c r="EO872" s="93"/>
      <c r="EP872" s="93"/>
      <c r="EQ872" s="93"/>
      <c r="ER872" s="93"/>
      <c r="ES872" s="93"/>
      <c r="ET872" s="93"/>
      <c r="EU872" s="93"/>
      <c r="EV872" s="93"/>
      <c r="EW872" s="93"/>
      <c r="EX872" s="93"/>
      <c r="EY872" s="93"/>
      <c r="EZ872" s="93"/>
      <c r="FA872" s="93"/>
      <c r="FB872" s="93"/>
      <c r="FC872" s="93"/>
      <c r="FD872" s="93"/>
      <c r="FE872" s="93"/>
      <c r="FF872" s="93"/>
    </row>
    <row r="873" spans="1:162" ht="15.75" customHeight="1">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c r="CM873" s="93"/>
      <c r="CN873" s="93"/>
      <c r="CO873" s="93"/>
      <c r="CP873" s="93"/>
      <c r="CQ873" s="93"/>
      <c r="CR873" s="93"/>
      <c r="CS873" s="93"/>
      <c r="CT873" s="93"/>
      <c r="CU873" s="93"/>
      <c r="CV873" s="93"/>
      <c r="CW873" s="93"/>
      <c r="CX873" s="93"/>
      <c r="CY873" s="93"/>
      <c r="CZ873" s="93"/>
      <c r="DA873" s="93"/>
      <c r="DB873" s="93"/>
      <c r="DC873" s="93"/>
      <c r="DD873" s="93"/>
      <c r="DE873" s="93"/>
      <c r="DF873" s="93"/>
      <c r="DG873" s="93"/>
      <c r="DH873" s="93"/>
      <c r="DI873" s="93"/>
      <c r="DJ873" s="93"/>
      <c r="DK873" s="93"/>
      <c r="DL873" s="93"/>
      <c r="DM873" s="93"/>
      <c r="DN873" s="93"/>
      <c r="DO873" s="93"/>
      <c r="DP873" s="93"/>
      <c r="DQ873" s="93"/>
      <c r="DR873" s="93"/>
      <c r="DS873" s="93"/>
      <c r="DT873" s="93"/>
      <c r="DU873" s="93"/>
      <c r="DV873" s="93"/>
      <c r="DW873" s="93"/>
      <c r="DX873" s="93"/>
      <c r="DY873" s="93"/>
      <c r="DZ873" s="93"/>
      <c r="EA873" s="93"/>
      <c r="EB873" s="93"/>
      <c r="EC873" s="93"/>
      <c r="ED873" s="93"/>
      <c r="EE873" s="93"/>
      <c r="EF873" s="93"/>
      <c r="EG873" s="93"/>
      <c r="EH873" s="93"/>
      <c r="EI873" s="93"/>
      <c r="EJ873" s="93"/>
      <c r="EK873" s="93"/>
      <c r="EL873" s="93"/>
      <c r="EM873" s="93"/>
      <c r="EN873" s="93"/>
      <c r="EO873" s="93"/>
      <c r="EP873" s="93"/>
      <c r="EQ873" s="93"/>
      <c r="ER873" s="93"/>
      <c r="ES873" s="93"/>
      <c r="ET873" s="93"/>
      <c r="EU873" s="93"/>
      <c r="EV873" s="93"/>
      <c r="EW873" s="93"/>
      <c r="EX873" s="93"/>
      <c r="EY873" s="93"/>
      <c r="EZ873" s="93"/>
      <c r="FA873" s="93"/>
      <c r="FB873" s="93"/>
      <c r="FC873" s="93"/>
      <c r="FD873" s="93"/>
      <c r="FE873" s="93"/>
      <c r="FF873" s="93"/>
    </row>
    <row r="874" spans="1:162" ht="15.75" customHeight="1">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c r="CM874" s="93"/>
      <c r="CN874" s="93"/>
      <c r="CO874" s="93"/>
      <c r="CP874" s="93"/>
      <c r="CQ874" s="93"/>
      <c r="CR874" s="93"/>
      <c r="CS874" s="93"/>
      <c r="CT874" s="93"/>
      <c r="CU874" s="93"/>
      <c r="CV874" s="93"/>
      <c r="CW874" s="93"/>
      <c r="CX874" s="93"/>
      <c r="CY874" s="93"/>
      <c r="CZ874" s="93"/>
      <c r="DA874" s="93"/>
      <c r="DB874" s="93"/>
      <c r="DC874" s="93"/>
      <c r="DD874" s="93"/>
      <c r="DE874" s="93"/>
      <c r="DF874" s="93"/>
      <c r="DG874" s="93"/>
      <c r="DH874" s="93"/>
      <c r="DI874" s="93"/>
      <c r="DJ874" s="93"/>
      <c r="DK874" s="93"/>
      <c r="DL874" s="93"/>
      <c r="DM874" s="93"/>
      <c r="DN874" s="93"/>
      <c r="DO874" s="93"/>
      <c r="DP874" s="93"/>
      <c r="DQ874" s="93"/>
      <c r="DR874" s="93"/>
      <c r="DS874" s="93"/>
      <c r="DT874" s="93"/>
      <c r="DU874" s="93"/>
      <c r="DV874" s="93"/>
      <c r="DW874" s="93"/>
      <c r="DX874" s="93"/>
      <c r="DY874" s="93"/>
      <c r="DZ874" s="93"/>
      <c r="EA874" s="93"/>
      <c r="EB874" s="93"/>
      <c r="EC874" s="93"/>
      <c r="ED874" s="93"/>
      <c r="EE874" s="93"/>
      <c r="EF874" s="93"/>
      <c r="EG874" s="93"/>
      <c r="EH874" s="93"/>
      <c r="EI874" s="93"/>
      <c r="EJ874" s="93"/>
      <c r="EK874" s="93"/>
      <c r="EL874" s="93"/>
      <c r="EM874" s="93"/>
      <c r="EN874" s="93"/>
      <c r="EO874" s="93"/>
      <c r="EP874" s="93"/>
      <c r="EQ874" s="93"/>
      <c r="ER874" s="93"/>
      <c r="ES874" s="93"/>
      <c r="ET874" s="93"/>
      <c r="EU874" s="93"/>
      <c r="EV874" s="93"/>
      <c r="EW874" s="93"/>
      <c r="EX874" s="93"/>
      <c r="EY874" s="93"/>
      <c r="EZ874" s="93"/>
      <c r="FA874" s="93"/>
      <c r="FB874" s="93"/>
      <c r="FC874" s="93"/>
      <c r="FD874" s="93"/>
      <c r="FE874" s="93"/>
      <c r="FF874" s="93"/>
    </row>
    <row r="875" spans="1:162" ht="15.75" customHeight="1">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3"/>
      <c r="BU875" s="93"/>
      <c r="BV875" s="93"/>
      <c r="BW875" s="93"/>
      <c r="BX875" s="93"/>
      <c r="BY875" s="93"/>
      <c r="BZ875" s="93"/>
      <c r="CA875" s="93"/>
      <c r="CB875" s="93"/>
      <c r="CC875" s="93"/>
      <c r="CD875" s="93"/>
      <c r="CE875" s="93"/>
      <c r="CF875" s="93"/>
      <c r="CG875" s="93"/>
      <c r="CH875" s="93"/>
      <c r="CI875" s="93"/>
      <c r="CJ875" s="93"/>
      <c r="CK875" s="93"/>
      <c r="CL875" s="93"/>
      <c r="CM875" s="93"/>
      <c r="CN875" s="93"/>
      <c r="CO875" s="93"/>
      <c r="CP875" s="93"/>
      <c r="CQ875" s="93"/>
      <c r="CR875" s="93"/>
      <c r="CS875" s="93"/>
      <c r="CT875" s="93"/>
      <c r="CU875" s="93"/>
      <c r="CV875" s="93"/>
      <c r="CW875" s="93"/>
      <c r="CX875" s="93"/>
      <c r="CY875" s="93"/>
      <c r="CZ875" s="93"/>
      <c r="DA875" s="93"/>
      <c r="DB875" s="93"/>
      <c r="DC875" s="93"/>
      <c r="DD875" s="93"/>
      <c r="DE875" s="93"/>
      <c r="DF875" s="93"/>
      <c r="DG875" s="93"/>
      <c r="DH875" s="93"/>
      <c r="DI875" s="93"/>
      <c r="DJ875" s="93"/>
      <c r="DK875" s="93"/>
      <c r="DL875" s="93"/>
      <c r="DM875" s="93"/>
      <c r="DN875" s="93"/>
      <c r="DO875" s="93"/>
      <c r="DP875" s="93"/>
      <c r="DQ875" s="93"/>
      <c r="DR875" s="93"/>
      <c r="DS875" s="93"/>
      <c r="DT875" s="93"/>
      <c r="DU875" s="93"/>
      <c r="DV875" s="93"/>
      <c r="DW875" s="93"/>
      <c r="DX875" s="93"/>
      <c r="DY875" s="93"/>
      <c r="DZ875" s="93"/>
      <c r="EA875" s="93"/>
      <c r="EB875" s="93"/>
      <c r="EC875" s="93"/>
      <c r="ED875" s="93"/>
      <c r="EE875" s="93"/>
      <c r="EF875" s="93"/>
      <c r="EG875" s="93"/>
      <c r="EH875" s="93"/>
      <c r="EI875" s="93"/>
      <c r="EJ875" s="93"/>
      <c r="EK875" s="93"/>
      <c r="EL875" s="93"/>
      <c r="EM875" s="93"/>
      <c r="EN875" s="93"/>
      <c r="EO875" s="93"/>
      <c r="EP875" s="93"/>
      <c r="EQ875" s="93"/>
      <c r="ER875" s="93"/>
      <c r="ES875" s="93"/>
      <c r="ET875" s="93"/>
      <c r="EU875" s="93"/>
      <c r="EV875" s="93"/>
      <c r="EW875" s="93"/>
      <c r="EX875" s="93"/>
      <c r="EY875" s="93"/>
      <c r="EZ875" s="93"/>
      <c r="FA875" s="93"/>
      <c r="FB875" s="93"/>
      <c r="FC875" s="93"/>
      <c r="FD875" s="93"/>
      <c r="FE875" s="93"/>
      <c r="FF875" s="93"/>
    </row>
    <row r="876" spans="1:162" ht="15.75" customHeight="1">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c r="CM876" s="93"/>
      <c r="CN876" s="93"/>
      <c r="CO876" s="93"/>
      <c r="CP876" s="93"/>
      <c r="CQ876" s="93"/>
      <c r="CR876" s="93"/>
      <c r="CS876" s="93"/>
      <c r="CT876" s="93"/>
      <c r="CU876" s="93"/>
      <c r="CV876" s="93"/>
      <c r="CW876" s="93"/>
      <c r="CX876" s="93"/>
      <c r="CY876" s="93"/>
      <c r="CZ876" s="93"/>
      <c r="DA876" s="93"/>
      <c r="DB876" s="93"/>
      <c r="DC876" s="93"/>
      <c r="DD876" s="93"/>
      <c r="DE876" s="93"/>
      <c r="DF876" s="93"/>
      <c r="DG876" s="93"/>
      <c r="DH876" s="93"/>
      <c r="DI876" s="93"/>
      <c r="DJ876" s="93"/>
      <c r="DK876" s="93"/>
      <c r="DL876" s="93"/>
      <c r="DM876" s="93"/>
      <c r="DN876" s="93"/>
      <c r="DO876" s="93"/>
      <c r="DP876" s="93"/>
      <c r="DQ876" s="93"/>
      <c r="DR876" s="93"/>
      <c r="DS876" s="93"/>
      <c r="DT876" s="93"/>
      <c r="DU876" s="93"/>
      <c r="DV876" s="93"/>
      <c r="DW876" s="93"/>
      <c r="DX876" s="93"/>
      <c r="DY876" s="93"/>
      <c r="DZ876" s="93"/>
      <c r="EA876" s="93"/>
      <c r="EB876" s="93"/>
      <c r="EC876" s="93"/>
      <c r="ED876" s="93"/>
      <c r="EE876" s="93"/>
      <c r="EF876" s="93"/>
      <c r="EG876" s="93"/>
      <c r="EH876" s="93"/>
      <c r="EI876" s="93"/>
      <c r="EJ876" s="93"/>
      <c r="EK876" s="93"/>
      <c r="EL876" s="93"/>
      <c r="EM876" s="93"/>
      <c r="EN876" s="93"/>
      <c r="EO876" s="93"/>
      <c r="EP876" s="93"/>
      <c r="EQ876" s="93"/>
      <c r="ER876" s="93"/>
      <c r="ES876" s="93"/>
      <c r="ET876" s="93"/>
      <c r="EU876" s="93"/>
      <c r="EV876" s="93"/>
      <c r="EW876" s="93"/>
      <c r="EX876" s="93"/>
      <c r="EY876" s="93"/>
      <c r="EZ876" s="93"/>
      <c r="FA876" s="93"/>
      <c r="FB876" s="93"/>
      <c r="FC876" s="93"/>
      <c r="FD876" s="93"/>
      <c r="FE876" s="93"/>
      <c r="FF876" s="93"/>
    </row>
    <row r="877" spans="1:162" ht="15.75" customHeight="1">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c r="CM877" s="93"/>
      <c r="CN877" s="93"/>
      <c r="CO877" s="93"/>
      <c r="CP877" s="93"/>
      <c r="CQ877" s="93"/>
      <c r="CR877" s="93"/>
      <c r="CS877" s="93"/>
      <c r="CT877" s="93"/>
      <c r="CU877" s="93"/>
      <c r="CV877" s="93"/>
      <c r="CW877" s="93"/>
      <c r="CX877" s="93"/>
      <c r="CY877" s="93"/>
      <c r="CZ877" s="93"/>
      <c r="DA877" s="93"/>
      <c r="DB877" s="93"/>
      <c r="DC877" s="93"/>
      <c r="DD877" s="93"/>
      <c r="DE877" s="93"/>
      <c r="DF877" s="93"/>
      <c r="DG877" s="93"/>
      <c r="DH877" s="93"/>
      <c r="DI877" s="93"/>
      <c r="DJ877" s="93"/>
      <c r="DK877" s="93"/>
      <c r="DL877" s="93"/>
      <c r="DM877" s="93"/>
      <c r="DN877" s="93"/>
      <c r="DO877" s="93"/>
      <c r="DP877" s="93"/>
      <c r="DQ877" s="93"/>
      <c r="DR877" s="93"/>
      <c r="DS877" s="93"/>
      <c r="DT877" s="93"/>
      <c r="DU877" s="93"/>
      <c r="DV877" s="93"/>
      <c r="DW877" s="93"/>
      <c r="DX877" s="93"/>
      <c r="DY877" s="93"/>
      <c r="DZ877" s="93"/>
      <c r="EA877" s="93"/>
      <c r="EB877" s="93"/>
      <c r="EC877" s="93"/>
      <c r="ED877" s="93"/>
      <c r="EE877" s="93"/>
      <c r="EF877" s="93"/>
      <c r="EG877" s="93"/>
      <c r="EH877" s="93"/>
      <c r="EI877" s="93"/>
      <c r="EJ877" s="93"/>
      <c r="EK877" s="93"/>
      <c r="EL877" s="93"/>
      <c r="EM877" s="93"/>
      <c r="EN877" s="93"/>
      <c r="EO877" s="93"/>
      <c r="EP877" s="93"/>
      <c r="EQ877" s="93"/>
      <c r="ER877" s="93"/>
      <c r="ES877" s="93"/>
      <c r="ET877" s="93"/>
      <c r="EU877" s="93"/>
      <c r="EV877" s="93"/>
      <c r="EW877" s="93"/>
      <c r="EX877" s="93"/>
      <c r="EY877" s="93"/>
      <c r="EZ877" s="93"/>
      <c r="FA877" s="93"/>
      <c r="FB877" s="93"/>
      <c r="FC877" s="93"/>
      <c r="FD877" s="93"/>
      <c r="FE877" s="93"/>
      <c r="FF877" s="93"/>
    </row>
    <row r="878" spans="1:162" ht="15.75" customHeight="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row>
    <row r="879" spans="1:162" ht="15.75" customHeight="1">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c r="BS879" s="93"/>
      <c r="BT879" s="93"/>
      <c r="BU879" s="93"/>
      <c r="BV879" s="93"/>
      <c r="BW879" s="93"/>
      <c r="BX879" s="93"/>
      <c r="BY879" s="93"/>
      <c r="BZ879" s="93"/>
      <c r="CA879" s="93"/>
      <c r="CB879" s="93"/>
      <c r="CC879" s="93"/>
      <c r="CD879" s="93"/>
      <c r="CE879" s="93"/>
      <c r="CF879" s="93"/>
      <c r="CG879" s="93"/>
      <c r="CH879" s="93"/>
      <c r="CI879" s="93"/>
      <c r="CJ879" s="93"/>
      <c r="CK879" s="93"/>
      <c r="CL879" s="93"/>
      <c r="CM879" s="93"/>
      <c r="CN879" s="93"/>
      <c r="CO879" s="93"/>
      <c r="CP879" s="93"/>
      <c r="CQ879" s="93"/>
      <c r="CR879" s="93"/>
      <c r="CS879" s="93"/>
      <c r="CT879" s="93"/>
      <c r="CU879" s="93"/>
      <c r="CV879" s="93"/>
      <c r="CW879" s="93"/>
      <c r="CX879" s="93"/>
      <c r="CY879" s="93"/>
      <c r="CZ879" s="93"/>
      <c r="DA879" s="93"/>
      <c r="DB879" s="93"/>
      <c r="DC879" s="93"/>
      <c r="DD879" s="93"/>
      <c r="DE879" s="93"/>
      <c r="DF879" s="93"/>
      <c r="DG879" s="93"/>
      <c r="DH879" s="93"/>
      <c r="DI879" s="93"/>
      <c r="DJ879" s="93"/>
      <c r="DK879" s="93"/>
      <c r="DL879" s="93"/>
      <c r="DM879" s="93"/>
      <c r="DN879" s="93"/>
      <c r="DO879" s="93"/>
      <c r="DP879" s="93"/>
      <c r="DQ879" s="93"/>
      <c r="DR879" s="93"/>
      <c r="DS879" s="93"/>
      <c r="DT879" s="93"/>
      <c r="DU879" s="93"/>
      <c r="DV879" s="93"/>
      <c r="DW879" s="93"/>
      <c r="DX879" s="93"/>
      <c r="DY879" s="93"/>
      <c r="DZ879" s="93"/>
      <c r="EA879" s="93"/>
      <c r="EB879" s="93"/>
      <c r="EC879" s="93"/>
      <c r="ED879" s="93"/>
      <c r="EE879" s="93"/>
      <c r="EF879" s="93"/>
      <c r="EG879" s="93"/>
      <c r="EH879" s="93"/>
      <c r="EI879" s="93"/>
      <c r="EJ879" s="93"/>
      <c r="EK879" s="93"/>
      <c r="EL879" s="93"/>
      <c r="EM879" s="93"/>
      <c r="EN879" s="93"/>
      <c r="EO879" s="93"/>
      <c r="EP879" s="93"/>
      <c r="EQ879" s="93"/>
      <c r="ER879" s="93"/>
      <c r="ES879" s="93"/>
      <c r="ET879" s="93"/>
      <c r="EU879" s="93"/>
      <c r="EV879" s="93"/>
      <c r="EW879" s="93"/>
      <c r="EX879" s="93"/>
      <c r="EY879" s="93"/>
      <c r="EZ879" s="93"/>
      <c r="FA879" s="93"/>
      <c r="FB879" s="93"/>
      <c r="FC879" s="93"/>
      <c r="FD879" s="93"/>
      <c r="FE879" s="93"/>
      <c r="FF879" s="93"/>
    </row>
    <row r="880" spans="1:162" ht="15.75" customHeight="1">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c r="CM880" s="93"/>
      <c r="CN880" s="93"/>
      <c r="CO880" s="93"/>
      <c r="CP880" s="93"/>
      <c r="CQ880" s="93"/>
      <c r="CR880" s="93"/>
      <c r="CS880" s="93"/>
      <c r="CT880" s="93"/>
      <c r="CU880" s="93"/>
      <c r="CV880" s="93"/>
      <c r="CW880" s="93"/>
      <c r="CX880" s="93"/>
      <c r="CY880" s="93"/>
      <c r="CZ880" s="93"/>
      <c r="DA880" s="93"/>
      <c r="DB880" s="93"/>
      <c r="DC880" s="93"/>
      <c r="DD880" s="93"/>
      <c r="DE880" s="93"/>
      <c r="DF880" s="93"/>
      <c r="DG880" s="93"/>
      <c r="DH880" s="93"/>
      <c r="DI880" s="93"/>
      <c r="DJ880" s="93"/>
      <c r="DK880" s="93"/>
      <c r="DL880" s="93"/>
      <c r="DM880" s="93"/>
      <c r="DN880" s="93"/>
      <c r="DO880" s="93"/>
      <c r="DP880" s="93"/>
      <c r="DQ880" s="93"/>
      <c r="DR880" s="93"/>
      <c r="DS880" s="93"/>
      <c r="DT880" s="93"/>
      <c r="DU880" s="93"/>
      <c r="DV880" s="93"/>
      <c r="DW880" s="93"/>
      <c r="DX880" s="93"/>
      <c r="DY880" s="93"/>
      <c r="DZ880" s="93"/>
      <c r="EA880" s="93"/>
      <c r="EB880" s="93"/>
      <c r="EC880" s="93"/>
      <c r="ED880" s="93"/>
      <c r="EE880" s="93"/>
      <c r="EF880" s="93"/>
      <c r="EG880" s="93"/>
      <c r="EH880" s="93"/>
      <c r="EI880" s="93"/>
      <c r="EJ880" s="93"/>
      <c r="EK880" s="93"/>
      <c r="EL880" s="93"/>
      <c r="EM880" s="93"/>
      <c r="EN880" s="93"/>
      <c r="EO880" s="93"/>
      <c r="EP880" s="93"/>
      <c r="EQ880" s="93"/>
      <c r="ER880" s="93"/>
      <c r="ES880" s="93"/>
      <c r="ET880" s="93"/>
      <c r="EU880" s="93"/>
      <c r="EV880" s="93"/>
      <c r="EW880" s="93"/>
      <c r="EX880" s="93"/>
      <c r="EY880" s="93"/>
      <c r="EZ880" s="93"/>
      <c r="FA880" s="93"/>
      <c r="FB880" s="93"/>
      <c r="FC880" s="93"/>
      <c r="FD880" s="93"/>
      <c r="FE880" s="93"/>
      <c r="FF880" s="93"/>
    </row>
    <row r="881" spans="1:162" ht="15.75" customHeight="1">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c r="BS881" s="93"/>
      <c r="BT881" s="93"/>
      <c r="BU881" s="93"/>
      <c r="BV881" s="93"/>
      <c r="BW881" s="93"/>
      <c r="BX881" s="93"/>
      <c r="BY881" s="93"/>
      <c r="BZ881" s="93"/>
      <c r="CA881" s="93"/>
      <c r="CB881" s="93"/>
      <c r="CC881" s="93"/>
      <c r="CD881" s="93"/>
      <c r="CE881" s="93"/>
      <c r="CF881" s="93"/>
      <c r="CG881" s="93"/>
      <c r="CH881" s="93"/>
      <c r="CI881" s="93"/>
      <c r="CJ881" s="93"/>
      <c r="CK881" s="93"/>
      <c r="CL881" s="93"/>
      <c r="CM881" s="93"/>
      <c r="CN881" s="93"/>
      <c r="CO881" s="93"/>
      <c r="CP881" s="93"/>
      <c r="CQ881" s="93"/>
      <c r="CR881" s="93"/>
      <c r="CS881" s="93"/>
      <c r="CT881" s="93"/>
      <c r="CU881" s="93"/>
      <c r="CV881" s="93"/>
      <c r="CW881" s="93"/>
      <c r="CX881" s="93"/>
      <c r="CY881" s="93"/>
      <c r="CZ881" s="93"/>
      <c r="DA881" s="93"/>
      <c r="DB881" s="93"/>
      <c r="DC881" s="93"/>
      <c r="DD881" s="93"/>
      <c r="DE881" s="93"/>
      <c r="DF881" s="93"/>
      <c r="DG881" s="93"/>
      <c r="DH881" s="93"/>
      <c r="DI881" s="93"/>
      <c r="DJ881" s="93"/>
      <c r="DK881" s="93"/>
      <c r="DL881" s="93"/>
      <c r="DM881" s="93"/>
      <c r="DN881" s="93"/>
      <c r="DO881" s="93"/>
      <c r="DP881" s="93"/>
      <c r="DQ881" s="93"/>
      <c r="DR881" s="93"/>
      <c r="DS881" s="93"/>
      <c r="DT881" s="93"/>
      <c r="DU881" s="93"/>
      <c r="DV881" s="93"/>
      <c r="DW881" s="93"/>
      <c r="DX881" s="93"/>
      <c r="DY881" s="93"/>
      <c r="DZ881" s="93"/>
      <c r="EA881" s="93"/>
      <c r="EB881" s="93"/>
      <c r="EC881" s="93"/>
      <c r="ED881" s="93"/>
      <c r="EE881" s="93"/>
      <c r="EF881" s="93"/>
      <c r="EG881" s="93"/>
      <c r="EH881" s="93"/>
      <c r="EI881" s="93"/>
      <c r="EJ881" s="93"/>
      <c r="EK881" s="93"/>
      <c r="EL881" s="93"/>
      <c r="EM881" s="93"/>
      <c r="EN881" s="93"/>
      <c r="EO881" s="93"/>
      <c r="EP881" s="93"/>
      <c r="EQ881" s="93"/>
      <c r="ER881" s="93"/>
      <c r="ES881" s="93"/>
      <c r="ET881" s="93"/>
      <c r="EU881" s="93"/>
      <c r="EV881" s="93"/>
      <c r="EW881" s="93"/>
      <c r="EX881" s="93"/>
      <c r="EY881" s="93"/>
      <c r="EZ881" s="93"/>
      <c r="FA881" s="93"/>
      <c r="FB881" s="93"/>
      <c r="FC881" s="93"/>
      <c r="FD881" s="93"/>
      <c r="FE881" s="93"/>
      <c r="FF881" s="93"/>
    </row>
    <row r="882" spans="1:162" ht="15.75" customHeight="1">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c r="BS882" s="93"/>
      <c r="BT882" s="93"/>
      <c r="BU882" s="93"/>
      <c r="BV882" s="93"/>
      <c r="BW882" s="93"/>
      <c r="BX882" s="93"/>
      <c r="BY882" s="93"/>
      <c r="BZ882" s="93"/>
      <c r="CA882" s="93"/>
      <c r="CB882" s="93"/>
      <c r="CC882" s="93"/>
      <c r="CD882" s="93"/>
      <c r="CE882" s="93"/>
      <c r="CF882" s="93"/>
      <c r="CG882" s="93"/>
      <c r="CH882" s="93"/>
      <c r="CI882" s="93"/>
      <c r="CJ882" s="93"/>
      <c r="CK882" s="93"/>
      <c r="CL882" s="93"/>
      <c r="CM882" s="93"/>
      <c r="CN882" s="93"/>
      <c r="CO882" s="93"/>
      <c r="CP882" s="93"/>
      <c r="CQ882" s="93"/>
      <c r="CR882" s="93"/>
      <c r="CS882" s="93"/>
      <c r="CT882" s="93"/>
      <c r="CU882" s="93"/>
      <c r="CV882" s="93"/>
      <c r="CW882" s="93"/>
      <c r="CX882" s="93"/>
      <c r="CY882" s="93"/>
      <c r="CZ882" s="93"/>
      <c r="DA882" s="93"/>
      <c r="DB882" s="93"/>
      <c r="DC882" s="93"/>
      <c r="DD882" s="93"/>
      <c r="DE882" s="93"/>
      <c r="DF882" s="93"/>
      <c r="DG882" s="93"/>
      <c r="DH882" s="93"/>
      <c r="DI882" s="93"/>
      <c r="DJ882" s="93"/>
      <c r="DK882" s="93"/>
      <c r="DL882" s="93"/>
      <c r="DM882" s="93"/>
      <c r="DN882" s="93"/>
      <c r="DO882" s="93"/>
      <c r="DP882" s="93"/>
      <c r="DQ882" s="93"/>
      <c r="DR882" s="93"/>
      <c r="DS882" s="93"/>
      <c r="DT882" s="93"/>
      <c r="DU882" s="93"/>
      <c r="DV882" s="93"/>
      <c r="DW882" s="93"/>
      <c r="DX882" s="93"/>
      <c r="DY882" s="93"/>
      <c r="DZ882" s="93"/>
      <c r="EA882" s="93"/>
      <c r="EB882" s="93"/>
      <c r="EC882" s="93"/>
      <c r="ED882" s="93"/>
      <c r="EE882" s="93"/>
      <c r="EF882" s="93"/>
      <c r="EG882" s="93"/>
      <c r="EH882" s="93"/>
      <c r="EI882" s="93"/>
      <c r="EJ882" s="93"/>
      <c r="EK882" s="93"/>
      <c r="EL882" s="93"/>
      <c r="EM882" s="93"/>
      <c r="EN882" s="93"/>
      <c r="EO882" s="93"/>
      <c r="EP882" s="93"/>
      <c r="EQ882" s="93"/>
      <c r="ER882" s="93"/>
      <c r="ES882" s="93"/>
      <c r="ET882" s="93"/>
      <c r="EU882" s="93"/>
      <c r="EV882" s="93"/>
      <c r="EW882" s="93"/>
      <c r="EX882" s="93"/>
      <c r="EY882" s="93"/>
      <c r="EZ882" s="93"/>
      <c r="FA882" s="93"/>
      <c r="FB882" s="93"/>
      <c r="FC882" s="93"/>
      <c r="FD882" s="93"/>
      <c r="FE882" s="93"/>
      <c r="FF882" s="93"/>
    </row>
    <row r="883" spans="1:162" ht="15.75" customHeight="1">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c r="BS883" s="93"/>
      <c r="BT883" s="93"/>
      <c r="BU883" s="93"/>
      <c r="BV883" s="93"/>
      <c r="BW883" s="93"/>
      <c r="BX883" s="93"/>
      <c r="BY883" s="93"/>
      <c r="BZ883" s="93"/>
      <c r="CA883" s="93"/>
      <c r="CB883" s="93"/>
      <c r="CC883" s="93"/>
      <c r="CD883" s="93"/>
      <c r="CE883" s="93"/>
      <c r="CF883" s="93"/>
      <c r="CG883" s="93"/>
      <c r="CH883" s="93"/>
      <c r="CI883" s="93"/>
      <c r="CJ883" s="93"/>
      <c r="CK883" s="93"/>
      <c r="CL883" s="93"/>
      <c r="CM883" s="93"/>
      <c r="CN883" s="93"/>
      <c r="CO883" s="93"/>
      <c r="CP883" s="93"/>
      <c r="CQ883" s="93"/>
      <c r="CR883" s="93"/>
      <c r="CS883" s="93"/>
      <c r="CT883" s="93"/>
      <c r="CU883" s="93"/>
      <c r="CV883" s="93"/>
      <c r="CW883" s="93"/>
      <c r="CX883" s="93"/>
      <c r="CY883" s="93"/>
      <c r="CZ883" s="93"/>
      <c r="DA883" s="93"/>
      <c r="DB883" s="93"/>
      <c r="DC883" s="93"/>
      <c r="DD883" s="93"/>
      <c r="DE883" s="93"/>
      <c r="DF883" s="93"/>
      <c r="DG883" s="93"/>
      <c r="DH883" s="93"/>
      <c r="DI883" s="93"/>
      <c r="DJ883" s="93"/>
      <c r="DK883" s="93"/>
      <c r="DL883" s="93"/>
      <c r="DM883" s="93"/>
      <c r="DN883" s="93"/>
      <c r="DO883" s="93"/>
      <c r="DP883" s="93"/>
      <c r="DQ883" s="93"/>
      <c r="DR883" s="93"/>
      <c r="DS883" s="93"/>
      <c r="DT883" s="93"/>
      <c r="DU883" s="93"/>
      <c r="DV883" s="93"/>
      <c r="DW883" s="93"/>
      <c r="DX883" s="93"/>
      <c r="DY883" s="93"/>
      <c r="DZ883" s="93"/>
      <c r="EA883" s="93"/>
      <c r="EB883" s="93"/>
      <c r="EC883" s="93"/>
      <c r="ED883" s="93"/>
      <c r="EE883" s="93"/>
      <c r="EF883" s="93"/>
      <c r="EG883" s="93"/>
      <c r="EH883" s="93"/>
      <c r="EI883" s="93"/>
      <c r="EJ883" s="93"/>
      <c r="EK883" s="93"/>
      <c r="EL883" s="93"/>
      <c r="EM883" s="93"/>
      <c r="EN883" s="93"/>
      <c r="EO883" s="93"/>
      <c r="EP883" s="93"/>
      <c r="EQ883" s="93"/>
      <c r="ER883" s="93"/>
      <c r="ES883" s="93"/>
      <c r="ET883" s="93"/>
      <c r="EU883" s="93"/>
      <c r="EV883" s="93"/>
      <c r="EW883" s="93"/>
      <c r="EX883" s="93"/>
      <c r="EY883" s="93"/>
      <c r="EZ883" s="93"/>
      <c r="FA883" s="93"/>
      <c r="FB883" s="93"/>
      <c r="FC883" s="93"/>
      <c r="FD883" s="93"/>
      <c r="FE883" s="93"/>
      <c r="FF883" s="93"/>
    </row>
    <row r="884" spans="1:162" ht="15.75" customHeight="1">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c r="BS884" s="93"/>
      <c r="BT884" s="93"/>
      <c r="BU884" s="93"/>
      <c r="BV884" s="93"/>
      <c r="BW884" s="93"/>
      <c r="BX884" s="93"/>
      <c r="BY884" s="93"/>
      <c r="BZ884" s="93"/>
      <c r="CA884" s="93"/>
      <c r="CB884" s="93"/>
      <c r="CC884" s="93"/>
      <c r="CD884" s="93"/>
      <c r="CE884" s="93"/>
      <c r="CF884" s="93"/>
      <c r="CG884" s="93"/>
      <c r="CH884" s="93"/>
      <c r="CI884" s="93"/>
      <c r="CJ884" s="93"/>
      <c r="CK884" s="93"/>
      <c r="CL884" s="93"/>
      <c r="CM884" s="93"/>
      <c r="CN884" s="93"/>
      <c r="CO884" s="93"/>
      <c r="CP884" s="93"/>
      <c r="CQ884" s="93"/>
      <c r="CR884" s="93"/>
      <c r="CS884" s="93"/>
      <c r="CT884" s="93"/>
      <c r="CU884" s="93"/>
      <c r="CV884" s="93"/>
      <c r="CW884" s="93"/>
      <c r="CX884" s="93"/>
      <c r="CY884" s="93"/>
      <c r="CZ884" s="93"/>
      <c r="DA884" s="93"/>
      <c r="DB884" s="93"/>
      <c r="DC884" s="93"/>
      <c r="DD884" s="93"/>
      <c r="DE884" s="93"/>
      <c r="DF884" s="93"/>
      <c r="DG884" s="93"/>
      <c r="DH884" s="93"/>
      <c r="DI884" s="93"/>
      <c r="DJ884" s="93"/>
      <c r="DK884" s="93"/>
      <c r="DL884" s="93"/>
      <c r="DM884" s="93"/>
      <c r="DN884" s="93"/>
      <c r="DO884" s="93"/>
      <c r="DP884" s="93"/>
      <c r="DQ884" s="93"/>
      <c r="DR884" s="93"/>
      <c r="DS884" s="93"/>
      <c r="DT884" s="93"/>
      <c r="DU884" s="93"/>
      <c r="DV884" s="93"/>
      <c r="DW884" s="93"/>
      <c r="DX884" s="93"/>
      <c r="DY884" s="93"/>
      <c r="DZ884" s="93"/>
      <c r="EA884" s="93"/>
      <c r="EB884" s="93"/>
      <c r="EC884" s="93"/>
      <c r="ED884" s="93"/>
      <c r="EE884" s="93"/>
      <c r="EF884" s="93"/>
      <c r="EG884" s="93"/>
      <c r="EH884" s="93"/>
      <c r="EI884" s="93"/>
      <c r="EJ884" s="93"/>
      <c r="EK884" s="93"/>
      <c r="EL884" s="93"/>
      <c r="EM884" s="93"/>
      <c r="EN884" s="93"/>
      <c r="EO884" s="93"/>
      <c r="EP884" s="93"/>
      <c r="EQ884" s="93"/>
      <c r="ER884" s="93"/>
      <c r="ES884" s="93"/>
      <c r="ET884" s="93"/>
      <c r="EU884" s="93"/>
      <c r="EV884" s="93"/>
      <c r="EW884" s="93"/>
      <c r="EX884" s="93"/>
      <c r="EY884" s="93"/>
      <c r="EZ884" s="93"/>
      <c r="FA884" s="93"/>
      <c r="FB884" s="93"/>
      <c r="FC884" s="93"/>
      <c r="FD884" s="93"/>
      <c r="FE884" s="93"/>
      <c r="FF884" s="93"/>
    </row>
    <row r="885" spans="1:162" ht="15.75" customHeight="1">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3"/>
      <c r="BU885" s="93"/>
      <c r="BV885" s="93"/>
      <c r="BW885" s="93"/>
      <c r="BX885" s="93"/>
      <c r="BY885" s="93"/>
      <c r="BZ885" s="93"/>
      <c r="CA885" s="93"/>
      <c r="CB885" s="93"/>
      <c r="CC885" s="93"/>
      <c r="CD885" s="93"/>
      <c r="CE885" s="93"/>
      <c r="CF885" s="93"/>
      <c r="CG885" s="93"/>
      <c r="CH885" s="93"/>
      <c r="CI885" s="93"/>
      <c r="CJ885" s="93"/>
      <c r="CK885" s="93"/>
      <c r="CL885" s="93"/>
      <c r="CM885" s="93"/>
      <c r="CN885" s="93"/>
      <c r="CO885" s="93"/>
      <c r="CP885" s="93"/>
      <c r="CQ885" s="93"/>
      <c r="CR885" s="93"/>
      <c r="CS885" s="93"/>
      <c r="CT885" s="93"/>
      <c r="CU885" s="93"/>
      <c r="CV885" s="93"/>
      <c r="CW885" s="93"/>
      <c r="CX885" s="93"/>
      <c r="CY885" s="93"/>
      <c r="CZ885" s="93"/>
      <c r="DA885" s="93"/>
      <c r="DB885" s="93"/>
      <c r="DC885" s="93"/>
      <c r="DD885" s="93"/>
      <c r="DE885" s="93"/>
      <c r="DF885" s="93"/>
      <c r="DG885" s="93"/>
      <c r="DH885" s="93"/>
      <c r="DI885" s="93"/>
      <c r="DJ885" s="93"/>
      <c r="DK885" s="93"/>
      <c r="DL885" s="93"/>
      <c r="DM885" s="93"/>
      <c r="DN885" s="93"/>
      <c r="DO885" s="93"/>
      <c r="DP885" s="93"/>
      <c r="DQ885" s="93"/>
      <c r="DR885" s="93"/>
      <c r="DS885" s="93"/>
      <c r="DT885" s="93"/>
      <c r="DU885" s="93"/>
      <c r="DV885" s="93"/>
      <c r="DW885" s="93"/>
      <c r="DX885" s="93"/>
      <c r="DY885" s="93"/>
      <c r="DZ885" s="93"/>
      <c r="EA885" s="93"/>
      <c r="EB885" s="93"/>
      <c r="EC885" s="93"/>
      <c r="ED885" s="93"/>
      <c r="EE885" s="93"/>
      <c r="EF885" s="93"/>
      <c r="EG885" s="93"/>
      <c r="EH885" s="93"/>
      <c r="EI885" s="93"/>
      <c r="EJ885" s="93"/>
      <c r="EK885" s="93"/>
      <c r="EL885" s="93"/>
      <c r="EM885" s="93"/>
      <c r="EN885" s="93"/>
      <c r="EO885" s="93"/>
      <c r="EP885" s="93"/>
      <c r="EQ885" s="93"/>
      <c r="ER885" s="93"/>
      <c r="ES885" s="93"/>
      <c r="ET885" s="93"/>
      <c r="EU885" s="93"/>
      <c r="EV885" s="93"/>
      <c r="EW885" s="93"/>
      <c r="EX885" s="93"/>
      <c r="EY885" s="93"/>
      <c r="EZ885" s="93"/>
      <c r="FA885" s="93"/>
      <c r="FB885" s="93"/>
      <c r="FC885" s="93"/>
      <c r="FD885" s="93"/>
      <c r="FE885" s="93"/>
      <c r="FF885" s="93"/>
    </row>
    <row r="886" spans="1:162" ht="15.75" customHeight="1">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c r="CC886" s="93"/>
      <c r="CD886" s="93"/>
      <c r="CE886" s="93"/>
      <c r="CF886" s="93"/>
      <c r="CG886" s="93"/>
      <c r="CH886" s="93"/>
      <c r="CI886" s="93"/>
      <c r="CJ886" s="93"/>
      <c r="CK886" s="93"/>
      <c r="CL886" s="93"/>
      <c r="CM886" s="93"/>
      <c r="CN886" s="93"/>
      <c r="CO886" s="93"/>
      <c r="CP886" s="93"/>
      <c r="CQ886" s="93"/>
      <c r="CR886" s="93"/>
      <c r="CS886" s="93"/>
      <c r="CT886" s="93"/>
      <c r="CU886" s="93"/>
      <c r="CV886" s="93"/>
      <c r="CW886" s="93"/>
      <c r="CX886" s="93"/>
      <c r="CY886" s="93"/>
      <c r="CZ886" s="93"/>
      <c r="DA886" s="93"/>
      <c r="DB886" s="93"/>
      <c r="DC886" s="93"/>
      <c r="DD886" s="93"/>
      <c r="DE886" s="93"/>
      <c r="DF886" s="93"/>
      <c r="DG886" s="93"/>
      <c r="DH886" s="93"/>
      <c r="DI886" s="93"/>
      <c r="DJ886" s="93"/>
      <c r="DK886" s="93"/>
      <c r="DL886" s="93"/>
      <c r="DM886" s="93"/>
      <c r="DN886" s="93"/>
      <c r="DO886" s="93"/>
      <c r="DP886" s="93"/>
      <c r="DQ886" s="93"/>
      <c r="DR886" s="93"/>
      <c r="DS886" s="93"/>
      <c r="DT886" s="93"/>
      <c r="DU886" s="93"/>
      <c r="DV886" s="93"/>
      <c r="DW886" s="93"/>
      <c r="DX886" s="93"/>
      <c r="DY886" s="93"/>
      <c r="DZ886" s="93"/>
      <c r="EA886" s="93"/>
      <c r="EB886" s="93"/>
      <c r="EC886" s="93"/>
      <c r="ED886" s="93"/>
      <c r="EE886" s="93"/>
      <c r="EF886" s="93"/>
      <c r="EG886" s="93"/>
      <c r="EH886" s="93"/>
      <c r="EI886" s="93"/>
      <c r="EJ886" s="93"/>
      <c r="EK886" s="93"/>
      <c r="EL886" s="93"/>
      <c r="EM886" s="93"/>
      <c r="EN886" s="93"/>
      <c r="EO886" s="93"/>
      <c r="EP886" s="93"/>
      <c r="EQ886" s="93"/>
      <c r="ER886" s="93"/>
      <c r="ES886" s="93"/>
      <c r="ET886" s="93"/>
      <c r="EU886" s="93"/>
      <c r="EV886" s="93"/>
      <c r="EW886" s="93"/>
      <c r="EX886" s="93"/>
      <c r="EY886" s="93"/>
      <c r="EZ886" s="93"/>
      <c r="FA886" s="93"/>
      <c r="FB886" s="93"/>
      <c r="FC886" s="93"/>
      <c r="FD886" s="93"/>
      <c r="FE886" s="93"/>
      <c r="FF886" s="93"/>
    </row>
    <row r="887" spans="1:162" ht="15.75" customHeight="1">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c r="BS887" s="93"/>
      <c r="BT887" s="93"/>
      <c r="BU887" s="93"/>
      <c r="BV887" s="93"/>
      <c r="BW887" s="93"/>
      <c r="BX887" s="93"/>
      <c r="BY887" s="93"/>
      <c r="BZ887" s="93"/>
      <c r="CA887" s="93"/>
      <c r="CB887" s="93"/>
      <c r="CC887" s="93"/>
      <c r="CD887" s="93"/>
      <c r="CE887" s="93"/>
      <c r="CF887" s="93"/>
      <c r="CG887" s="93"/>
      <c r="CH887" s="93"/>
      <c r="CI887" s="93"/>
      <c r="CJ887" s="93"/>
      <c r="CK887" s="93"/>
      <c r="CL887" s="93"/>
      <c r="CM887" s="93"/>
      <c r="CN887" s="93"/>
      <c r="CO887" s="93"/>
      <c r="CP887" s="93"/>
      <c r="CQ887" s="93"/>
      <c r="CR887" s="93"/>
      <c r="CS887" s="93"/>
      <c r="CT887" s="93"/>
      <c r="CU887" s="93"/>
      <c r="CV887" s="93"/>
      <c r="CW887" s="93"/>
      <c r="CX887" s="93"/>
      <c r="CY887" s="93"/>
      <c r="CZ887" s="93"/>
      <c r="DA887" s="93"/>
      <c r="DB887" s="93"/>
      <c r="DC887" s="93"/>
      <c r="DD887" s="93"/>
      <c r="DE887" s="93"/>
      <c r="DF887" s="93"/>
      <c r="DG887" s="93"/>
      <c r="DH887" s="93"/>
      <c r="DI887" s="93"/>
      <c r="DJ887" s="93"/>
      <c r="DK887" s="93"/>
      <c r="DL887" s="93"/>
      <c r="DM887" s="93"/>
      <c r="DN887" s="93"/>
      <c r="DO887" s="93"/>
      <c r="DP887" s="93"/>
      <c r="DQ887" s="93"/>
      <c r="DR887" s="93"/>
      <c r="DS887" s="93"/>
      <c r="DT887" s="93"/>
      <c r="DU887" s="93"/>
      <c r="DV887" s="93"/>
      <c r="DW887" s="93"/>
      <c r="DX887" s="93"/>
      <c r="DY887" s="93"/>
      <c r="DZ887" s="93"/>
      <c r="EA887" s="93"/>
      <c r="EB887" s="93"/>
      <c r="EC887" s="93"/>
      <c r="ED887" s="93"/>
      <c r="EE887" s="93"/>
      <c r="EF887" s="93"/>
      <c r="EG887" s="93"/>
      <c r="EH887" s="93"/>
      <c r="EI887" s="93"/>
      <c r="EJ887" s="93"/>
      <c r="EK887" s="93"/>
      <c r="EL887" s="93"/>
      <c r="EM887" s="93"/>
      <c r="EN887" s="93"/>
      <c r="EO887" s="93"/>
      <c r="EP887" s="93"/>
      <c r="EQ887" s="93"/>
      <c r="ER887" s="93"/>
      <c r="ES887" s="93"/>
      <c r="ET887" s="93"/>
      <c r="EU887" s="93"/>
      <c r="EV887" s="93"/>
      <c r="EW887" s="93"/>
      <c r="EX887" s="93"/>
      <c r="EY887" s="93"/>
      <c r="EZ887" s="93"/>
      <c r="FA887" s="93"/>
      <c r="FB887" s="93"/>
      <c r="FC887" s="93"/>
      <c r="FD887" s="93"/>
      <c r="FE887" s="93"/>
      <c r="FF887" s="93"/>
    </row>
    <row r="888" spans="1:162" ht="15.75" customHeight="1">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c r="BS888" s="93"/>
      <c r="BT888" s="93"/>
      <c r="BU888" s="93"/>
      <c r="BV888" s="93"/>
      <c r="BW888" s="93"/>
      <c r="BX888" s="93"/>
      <c r="BY888" s="93"/>
      <c r="BZ888" s="93"/>
      <c r="CA888" s="93"/>
      <c r="CB888" s="93"/>
      <c r="CC888" s="93"/>
      <c r="CD888" s="93"/>
      <c r="CE888" s="93"/>
      <c r="CF888" s="93"/>
      <c r="CG888" s="93"/>
      <c r="CH888" s="93"/>
      <c r="CI888" s="93"/>
      <c r="CJ888" s="93"/>
      <c r="CK888" s="93"/>
      <c r="CL888" s="93"/>
      <c r="CM888" s="93"/>
      <c r="CN888" s="93"/>
      <c r="CO888" s="93"/>
      <c r="CP888" s="93"/>
      <c r="CQ888" s="93"/>
      <c r="CR888" s="93"/>
      <c r="CS888" s="93"/>
      <c r="CT888" s="93"/>
      <c r="CU888" s="93"/>
      <c r="CV888" s="93"/>
      <c r="CW888" s="93"/>
      <c r="CX888" s="93"/>
      <c r="CY888" s="93"/>
      <c r="CZ888" s="93"/>
      <c r="DA888" s="93"/>
      <c r="DB888" s="93"/>
      <c r="DC888" s="93"/>
      <c r="DD888" s="93"/>
      <c r="DE888" s="93"/>
      <c r="DF888" s="93"/>
      <c r="DG888" s="93"/>
      <c r="DH888" s="93"/>
      <c r="DI888" s="93"/>
      <c r="DJ888" s="93"/>
      <c r="DK888" s="93"/>
      <c r="DL888" s="93"/>
      <c r="DM888" s="93"/>
      <c r="DN888" s="93"/>
      <c r="DO888" s="93"/>
      <c r="DP888" s="93"/>
      <c r="DQ888" s="93"/>
      <c r="DR888" s="93"/>
      <c r="DS888" s="93"/>
      <c r="DT888" s="93"/>
      <c r="DU888" s="93"/>
      <c r="DV888" s="93"/>
      <c r="DW888" s="93"/>
      <c r="DX888" s="93"/>
      <c r="DY888" s="93"/>
      <c r="DZ888" s="93"/>
      <c r="EA888" s="93"/>
      <c r="EB888" s="93"/>
      <c r="EC888" s="93"/>
      <c r="ED888" s="93"/>
      <c r="EE888" s="93"/>
      <c r="EF888" s="93"/>
      <c r="EG888" s="93"/>
      <c r="EH888" s="93"/>
      <c r="EI888" s="93"/>
      <c r="EJ888" s="93"/>
      <c r="EK888" s="93"/>
      <c r="EL888" s="93"/>
      <c r="EM888" s="93"/>
      <c r="EN888" s="93"/>
      <c r="EO888" s="93"/>
      <c r="EP888" s="93"/>
      <c r="EQ888" s="93"/>
      <c r="ER888" s="93"/>
      <c r="ES888" s="93"/>
      <c r="ET888" s="93"/>
      <c r="EU888" s="93"/>
      <c r="EV888" s="93"/>
      <c r="EW888" s="93"/>
      <c r="EX888" s="93"/>
      <c r="EY888" s="93"/>
      <c r="EZ888" s="93"/>
      <c r="FA888" s="93"/>
      <c r="FB888" s="93"/>
      <c r="FC888" s="93"/>
      <c r="FD888" s="93"/>
      <c r="FE888" s="93"/>
      <c r="FF888" s="93"/>
    </row>
    <row r="889" spans="1:162" ht="15.75" customHeight="1">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c r="BS889" s="93"/>
      <c r="BT889" s="93"/>
      <c r="BU889" s="93"/>
      <c r="BV889" s="93"/>
      <c r="BW889" s="93"/>
      <c r="BX889" s="93"/>
      <c r="BY889" s="93"/>
      <c r="BZ889" s="93"/>
      <c r="CA889" s="93"/>
      <c r="CB889" s="93"/>
      <c r="CC889" s="93"/>
      <c r="CD889" s="93"/>
      <c r="CE889" s="93"/>
      <c r="CF889" s="93"/>
      <c r="CG889" s="93"/>
      <c r="CH889" s="93"/>
      <c r="CI889" s="93"/>
      <c r="CJ889" s="93"/>
      <c r="CK889" s="93"/>
      <c r="CL889" s="93"/>
      <c r="CM889" s="93"/>
      <c r="CN889" s="93"/>
      <c r="CO889" s="93"/>
      <c r="CP889" s="93"/>
      <c r="CQ889" s="93"/>
      <c r="CR889" s="93"/>
      <c r="CS889" s="93"/>
      <c r="CT889" s="93"/>
      <c r="CU889" s="93"/>
      <c r="CV889" s="93"/>
      <c r="CW889" s="93"/>
      <c r="CX889" s="93"/>
      <c r="CY889" s="93"/>
      <c r="CZ889" s="93"/>
      <c r="DA889" s="93"/>
      <c r="DB889" s="93"/>
      <c r="DC889" s="93"/>
      <c r="DD889" s="93"/>
      <c r="DE889" s="93"/>
      <c r="DF889" s="93"/>
      <c r="DG889" s="93"/>
      <c r="DH889" s="93"/>
      <c r="DI889" s="93"/>
      <c r="DJ889" s="93"/>
      <c r="DK889" s="93"/>
      <c r="DL889" s="93"/>
      <c r="DM889" s="93"/>
      <c r="DN889" s="93"/>
      <c r="DO889" s="93"/>
      <c r="DP889" s="93"/>
      <c r="DQ889" s="93"/>
      <c r="DR889" s="93"/>
      <c r="DS889" s="93"/>
      <c r="DT889" s="93"/>
      <c r="DU889" s="93"/>
      <c r="DV889" s="93"/>
      <c r="DW889" s="93"/>
      <c r="DX889" s="93"/>
      <c r="DY889" s="93"/>
      <c r="DZ889" s="93"/>
      <c r="EA889" s="93"/>
      <c r="EB889" s="93"/>
      <c r="EC889" s="93"/>
      <c r="ED889" s="93"/>
      <c r="EE889" s="93"/>
      <c r="EF889" s="93"/>
      <c r="EG889" s="93"/>
      <c r="EH889" s="93"/>
      <c r="EI889" s="93"/>
      <c r="EJ889" s="93"/>
      <c r="EK889" s="93"/>
      <c r="EL889" s="93"/>
      <c r="EM889" s="93"/>
      <c r="EN889" s="93"/>
      <c r="EO889" s="93"/>
      <c r="EP889" s="93"/>
      <c r="EQ889" s="93"/>
      <c r="ER889" s="93"/>
      <c r="ES889" s="93"/>
      <c r="ET889" s="93"/>
      <c r="EU889" s="93"/>
      <c r="EV889" s="93"/>
      <c r="EW889" s="93"/>
      <c r="EX889" s="93"/>
      <c r="EY889" s="93"/>
      <c r="EZ889" s="93"/>
      <c r="FA889" s="93"/>
      <c r="FB889" s="93"/>
      <c r="FC889" s="93"/>
      <c r="FD889" s="93"/>
      <c r="FE889" s="93"/>
      <c r="FF889" s="93"/>
    </row>
    <row r="890" spans="1:162" ht="15.75" customHeight="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c r="CC890" s="93"/>
      <c r="CD890" s="93"/>
      <c r="CE890" s="93"/>
      <c r="CF890" s="93"/>
      <c r="CG890" s="93"/>
      <c r="CH890" s="93"/>
      <c r="CI890" s="93"/>
      <c r="CJ890" s="93"/>
      <c r="CK890" s="93"/>
      <c r="CL890" s="93"/>
      <c r="CM890" s="93"/>
      <c r="CN890" s="93"/>
      <c r="CO890" s="93"/>
      <c r="CP890" s="93"/>
      <c r="CQ890" s="93"/>
      <c r="CR890" s="93"/>
      <c r="CS890" s="93"/>
      <c r="CT890" s="93"/>
      <c r="CU890" s="93"/>
      <c r="CV890" s="93"/>
      <c r="CW890" s="93"/>
      <c r="CX890" s="93"/>
      <c r="CY890" s="93"/>
      <c r="CZ890" s="93"/>
      <c r="DA890" s="93"/>
      <c r="DB890" s="93"/>
      <c r="DC890" s="93"/>
      <c r="DD890" s="93"/>
      <c r="DE890" s="93"/>
      <c r="DF890" s="93"/>
      <c r="DG890" s="93"/>
      <c r="DH890" s="93"/>
      <c r="DI890" s="93"/>
      <c r="DJ890" s="93"/>
      <c r="DK890" s="93"/>
      <c r="DL890" s="93"/>
      <c r="DM890" s="93"/>
      <c r="DN890" s="93"/>
      <c r="DO890" s="93"/>
      <c r="DP890" s="93"/>
      <c r="DQ890" s="93"/>
      <c r="DR890" s="93"/>
      <c r="DS890" s="93"/>
      <c r="DT890" s="93"/>
      <c r="DU890" s="93"/>
      <c r="DV890" s="93"/>
      <c r="DW890" s="93"/>
      <c r="DX890" s="93"/>
      <c r="DY890" s="93"/>
      <c r="DZ890" s="93"/>
      <c r="EA890" s="93"/>
      <c r="EB890" s="93"/>
      <c r="EC890" s="93"/>
      <c r="ED890" s="93"/>
      <c r="EE890" s="93"/>
      <c r="EF890" s="93"/>
      <c r="EG890" s="93"/>
      <c r="EH890" s="93"/>
      <c r="EI890" s="93"/>
      <c r="EJ890" s="93"/>
      <c r="EK890" s="93"/>
      <c r="EL890" s="93"/>
      <c r="EM890" s="93"/>
      <c r="EN890" s="93"/>
      <c r="EO890" s="93"/>
      <c r="EP890" s="93"/>
      <c r="EQ890" s="93"/>
      <c r="ER890" s="93"/>
      <c r="ES890" s="93"/>
      <c r="ET890" s="93"/>
      <c r="EU890" s="93"/>
      <c r="EV890" s="93"/>
      <c r="EW890" s="93"/>
      <c r="EX890" s="93"/>
      <c r="EY890" s="93"/>
      <c r="EZ890" s="93"/>
      <c r="FA890" s="93"/>
      <c r="FB890" s="93"/>
      <c r="FC890" s="93"/>
      <c r="FD890" s="93"/>
      <c r="FE890" s="93"/>
      <c r="FF890" s="93"/>
    </row>
    <row r="891" spans="1:162" ht="15.75" customHeight="1">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c r="BS891" s="93"/>
      <c r="BT891" s="93"/>
      <c r="BU891" s="93"/>
      <c r="BV891" s="93"/>
      <c r="BW891" s="93"/>
      <c r="BX891" s="93"/>
      <c r="BY891" s="93"/>
      <c r="BZ891" s="93"/>
      <c r="CA891" s="93"/>
      <c r="CB891" s="93"/>
      <c r="CC891" s="93"/>
      <c r="CD891" s="93"/>
      <c r="CE891" s="93"/>
      <c r="CF891" s="93"/>
      <c r="CG891" s="93"/>
      <c r="CH891" s="93"/>
      <c r="CI891" s="93"/>
      <c r="CJ891" s="93"/>
      <c r="CK891" s="93"/>
      <c r="CL891" s="93"/>
      <c r="CM891" s="93"/>
      <c r="CN891" s="93"/>
      <c r="CO891" s="93"/>
      <c r="CP891" s="93"/>
      <c r="CQ891" s="93"/>
      <c r="CR891" s="93"/>
      <c r="CS891" s="93"/>
      <c r="CT891" s="93"/>
      <c r="CU891" s="93"/>
      <c r="CV891" s="93"/>
      <c r="CW891" s="93"/>
      <c r="CX891" s="93"/>
      <c r="CY891" s="93"/>
      <c r="CZ891" s="93"/>
      <c r="DA891" s="93"/>
      <c r="DB891" s="93"/>
      <c r="DC891" s="93"/>
      <c r="DD891" s="93"/>
      <c r="DE891" s="93"/>
      <c r="DF891" s="93"/>
      <c r="DG891" s="93"/>
      <c r="DH891" s="93"/>
      <c r="DI891" s="93"/>
      <c r="DJ891" s="93"/>
      <c r="DK891" s="93"/>
      <c r="DL891" s="93"/>
      <c r="DM891" s="93"/>
      <c r="DN891" s="93"/>
      <c r="DO891" s="93"/>
      <c r="DP891" s="93"/>
      <c r="DQ891" s="93"/>
      <c r="DR891" s="93"/>
      <c r="DS891" s="93"/>
      <c r="DT891" s="93"/>
      <c r="DU891" s="93"/>
      <c r="DV891" s="93"/>
      <c r="DW891" s="93"/>
      <c r="DX891" s="93"/>
      <c r="DY891" s="93"/>
      <c r="DZ891" s="93"/>
      <c r="EA891" s="93"/>
      <c r="EB891" s="93"/>
      <c r="EC891" s="93"/>
      <c r="ED891" s="93"/>
      <c r="EE891" s="93"/>
      <c r="EF891" s="93"/>
      <c r="EG891" s="93"/>
      <c r="EH891" s="93"/>
      <c r="EI891" s="93"/>
      <c r="EJ891" s="93"/>
      <c r="EK891" s="93"/>
      <c r="EL891" s="93"/>
      <c r="EM891" s="93"/>
      <c r="EN891" s="93"/>
      <c r="EO891" s="93"/>
      <c r="EP891" s="93"/>
      <c r="EQ891" s="93"/>
      <c r="ER891" s="93"/>
      <c r="ES891" s="93"/>
      <c r="ET891" s="93"/>
      <c r="EU891" s="93"/>
      <c r="EV891" s="93"/>
      <c r="EW891" s="93"/>
      <c r="EX891" s="93"/>
      <c r="EY891" s="93"/>
      <c r="EZ891" s="93"/>
      <c r="FA891" s="93"/>
      <c r="FB891" s="93"/>
      <c r="FC891" s="93"/>
      <c r="FD891" s="93"/>
      <c r="FE891" s="93"/>
      <c r="FF891" s="93"/>
    </row>
    <row r="892" spans="1:162" ht="15.75" customHeight="1">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c r="BS892" s="93"/>
      <c r="BT892" s="93"/>
      <c r="BU892" s="93"/>
      <c r="BV892" s="93"/>
      <c r="BW892" s="93"/>
      <c r="BX892" s="93"/>
      <c r="BY892" s="93"/>
      <c r="BZ892" s="93"/>
      <c r="CA892" s="93"/>
      <c r="CB892" s="93"/>
      <c r="CC892" s="93"/>
      <c r="CD892" s="93"/>
      <c r="CE892" s="93"/>
      <c r="CF892" s="93"/>
      <c r="CG892" s="93"/>
      <c r="CH892" s="93"/>
      <c r="CI892" s="93"/>
      <c r="CJ892" s="93"/>
      <c r="CK892" s="93"/>
      <c r="CL892" s="93"/>
      <c r="CM892" s="93"/>
      <c r="CN892" s="93"/>
      <c r="CO892" s="93"/>
      <c r="CP892" s="93"/>
      <c r="CQ892" s="93"/>
      <c r="CR892" s="93"/>
      <c r="CS892" s="93"/>
      <c r="CT892" s="93"/>
      <c r="CU892" s="93"/>
      <c r="CV892" s="93"/>
      <c r="CW892" s="93"/>
      <c r="CX892" s="93"/>
      <c r="CY892" s="93"/>
      <c r="CZ892" s="93"/>
      <c r="DA892" s="93"/>
      <c r="DB892" s="93"/>
      <c r="DC892" s="93"/>
      <c r="DD892" s="93"/>
      <c r="DE892" s="93"/>
      <c r="DF892" s="93"/>
      <c r="DG892" s="93"/>
      <c r="DH892" s="93"/>
      <c r="DI892" s="93"/>
      <c r="DJ892" s="93"/>
      <c r="DK892" s="93"/>
      <c r="DL892" s="93"/>
      <c r="DM892" s="93"/>
      <c r="DN892" s="93"/>
      <c r="DO892" s="93"/>
      <c r="DP892" s="93"/>
      <c r="DQ892" s="93"/>
      <c r="DR892" s="93"/>
      <c r="DS892" s="93"/>
      <c r="DT892" s="93"/>
      <c r="DU892" s="93"/>
      <c r="DV892" s="93"/>
      <c r="DW892" s="93"/>
      <c r="DX892" s="93"/>
      <c r="DY892" s="93"/>
      <c r="DZ892" s="93"/>
      <c r="EA892" s="93"/>
      <c r="EB892" s="93"/>
      <c r="EC892" s="93"/>
      <c r="ED892" s="93"/>
      <c r="EE892" s="93"/>
      <c r="EF892" s="93"/>
      <c r="EG892" s="93"/>
      <c r="EH892" s="93"/>
      <c r="EI892" s="93"/>
      <c r="EJ892" s="93"/>
      <c r="EK892" s="93"/>
      <c r="EL892" s="93"/>
      <c r="EM892" s="93"/>
      <c r="EN892" s="93"/>
      <c r="EO892" s="93"/>
      <c r="EP892" s="93"/>
      <c r="EQ892" s="93"/>
      <c r="ER892" s="93"/>
      <c r="ES892" s="93"/>
      <c r="ET892" s="93"/>
      <c r="EU892" s="93"/>
      <c r="EV892" s="93"/>
      <c r="EW892" s="93"/>
      <c r="EX892" s="93"/>
      <c r="EY892" s="93"/>
      <c r="EZ892" s="93"/>
      <c r="FA892" s="93"/>
      <c r="FB892" s="93"/>
      <c r="FC892" s="93"/>
      <c r="FD892" s="93"/>
      <c r="FE892" s="93"/>
      <c r="FF892" s="93"/>
    </row>
    <row r="893" spans="1:162" ht="15.75" customHeight="1">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c r="BS893" s="93"/>
      <c r="BT893" s="93"/>
      <c r="BU893" s="93"/>
      <c r="BV893" s="93"/>
      <c r="BW893" s="93"/>
      <c r="BX893" s="93"/>
      <c r="BY893" s="93"/>
      <c r="BZ893" s="93"/>
      <c r="CA893" s="93"/>
      <c r="CB893" s="93"/>
      <c r="CC893" s="93"/>
      <c r="CD893" s="93"/>
      <c r="CE893" s="93"/>
      <c r="CF893" s="93"/>
      <c r="CG893" s="93"/>
      <c r="CH893" s="93"/>
      <c r="CI893" s="93"/>
      <c r="CJ893" s="93"/>
      <c r="CK893" s="93"/>
      <c r="CL893" s="93"/>
      <c r="CM893" s="93"/>
      <c r="CN893" s="93"/>
      <c r="CO893" s="93"/>
      <c r="CP893" s="93"/>
      <c r="CQ893" s="93"/>
      <c r="CR893" s="93"/>
      <c r="CS893" s="93"/>
      <c r="CT893" s="93"/>
      <c r="CU893" s="93"/>
      <c r="CV893" s="93"/>
      <c r="CW893" s="93"/>
      <c r="CX893" s="93"/>
      <c r="CY893" s="93"/>
      <c r="CZ893" s="93"/>
      <c r="DA893" s="93"/>
      <c r="DB893" s="93"/>
      <c r="DC893" s="93"/>
      <c r="DD893" s="93"/>
      <c r="DE893" s="93"/>
      <c r="DF893" s="93"/>
      <c r="DG893" s="93"/>
      <c r="DH893" s="93"/>
      <c r="DI893" s="93"/>
      <c r="DJ893" s="93"/>
      <c r="DK893" s="93"/>
      <c r="DL893" s="93"/>
      <c r="DM893" s="93"/>
      <c r="DN893" s="93"/>
      <c r="DO893" s="93"/>
      <c r="DP893" s="93"/>
      <c r="DQ893" s="93"/>
      <c r="DR893" s="93"/>
      <c r="DS893" s="93"/>
      <c r="DT893" s="93"/>
      <c r="DU893" s="93"/>
      <c r="DV893" s="93"/>
      <c r="DW893" s="93"/>
      <c r="DX893" s="93"/>
      <c r="DY893" s="93"/>
      <c r="DZ893" s="93"/>
      <c r="EA893" s="93"/>
      <c r="EB893" s="93"/>
      <c r="EC893" s="93"/>
      <c r="ED893" s="93"/>
      <c r="EE893" s="93"/>
      <c r="EF893" s="93"/>
      <c r="EG893" s="93"/>
      <c r="EH893" s="93"/>
      <c r="EI893" s="93"/>
      <c r="EJ893" s="93"/>
      <c r="EK893" s="93"/>
      <c r="EL893" s="93"/>
      <c r="EM893" s="93"/>
      <c r="EN893" s="93"/>
      <c r="EO893" s="93"/>
      <c r="EP893" s="93"/>
      <c r="EQ893" s="93"/>
      <c r="ER893" s="93"/>
      <c r="ES893" s="93"/>
      <c r="ET893" s="93"/>
      <c r="EU893" s="93"/>
      <c r="EV893" s="93"/>
      <c r="EW893" s="93"/>
      <c r="EX893" s="93"/>
      <c r="EY893" s="93"/>
      <c r="EZ893" s="93"/>
      <c r="FA893" s="93"/>
      <c r="FB893" s="93"/>
      <c r="FC893" s="93"/>
      <c r="FD893" s="93"/>
      <c r="FE893" s="93"/>
      <c r="FF893" s="93"/>
    </row>
    <row r="894" spans="1:162" ht="15.75" customHeight="1">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c r="BS894" s="93"/>
      <c r="BT894" s="93"/>
      <c r="BU894" s="93"/>
      <c r="BV894" s="93"/>
      <c r="BW894" s="93"/>
      <c r="BX894" s="93"/>
      <c r="BY894" s="93"/>
      <c r="BZ894" s="93"/>
      <c r="CA894" s="93"/>
      <c r="CB894" s="93"/>
      <c r="CC894" s="93"/>
      <c r="CD894" s="93"/>
      <c r="CE894" s="93"/>
      <c r="CF894" s="93"/>
      <c r="CG894" s="93"/>
      <c r="CH894" s="93"/>
      <c r="CI894" s="93"/>
      <c r="CJ894" s="93"/>
      <c r="CK894" s="93"/>
      <c r="CL894" s="93"/>
      <c r="CM894" s="93"/>
      <c r="CN894" s="93"/>
      <c r="CO894" s="93"/>
      <c r="CP894" s="93"/>
      <c r="CQ894" s="93"/>
      <c r="CR894" s="93"/>
      <c r="CS894" s="93"/>
      <c r="CT894" s="93"/>
      <c r="CU894" s="93"/>
      <c r="CV894" s="93"/>
      <c r="CW894" s="93"/>
      <c r="CX894" s="93"/>
      <c r="CY894" s="93"/>
      <c r="CZ894" s="93"/>
      <c r="DA894" s="93"/>
      <c r="DB894" s="93"/>
      <c r="DC894" s="93"/>
      <c r="DD894" s="93"/>
      <c r="DE894" s="93"/>
      <c r="DF894" s="93"/>
      <c r="DG894" s="93"/>
      <c r="DH894" s="93"/>
      <c r="DI894" s="93"/>
      <c r="DJ894" s="93"/>
      <c r="DK894" s="93"/>
      <c r="DL894" s="93"/>
      <c r="DM894" s="93"/>
      <c r="DN894" s="93"/>
      <c r="DO894" s="93"/>
      <c r="DP894" s="93"/>
      <c r="DQ894" s="93"/>
      <c r="DR894" s="93"/>
      <c r="DS894" s="93"/>
      <c r="DT894" s="93"/>
      <c r="DU894" s="93"/>
      <c r="DV894" s="93"/>
      <c r="DW894" s="93"/>
      <c r="DX894" s="93"/>
      <c r="DY894" s="93"/>
      <c r="DZ894" s="93"/>
      <c r="EA894" s="93"/>
      <c r="EB894" s="93"/>
      <c r="EC894" s="93"/>
      <c r="ED894" s="93"/>
      <c r="EE894" s="93"/>
      <c r="EF894" s="93"/>
      <c r="EG894" s="93"/>
      <c r="EH894" s="93"/>
      <c r="EI894" s="93"/>
      <c r="EJ894" s="93"/>
      <c r="EK894" s="93"/>
      <c r="EL894" s="93"/>
      <c r="EM894" s="93"/>
      <c r="EN894" s="93"/>
      <c r="EO894" s="93"/>
      <c r="EP894" s="93"/>
      <c r="EQ894" s="93"/>
      <c r="ER894" s="93"/>
      <c r="ES894" s="93"/>
      <c r="ET894" s="93"/>
      <c r="EU894" s="93"/>
      <c r="EV894" s="93"/>
      <c r="EW894" s="93"/>
      <c r="EX894" s="93"/>
      <c r="EY894" s="93"/>
      <c r="EZ894" s="93"/>
      <c r="FA894" s="93"/>
      <c r="FB894" s="93"/>
      <c r="FC894" s="93"/>
      <c r="FD894" s="93"/>
      <c r="FE894" s="93"/>
      <c r="FF894" s="93"/>
    </row>
    <row r="895" spans="1:162" ht="15.75" customHeight="1">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c r="BS895" s="93"/>
      <c r="BT895" s="93"/>
      <c r="BU895" s="93"/>
      <c r="BV895" s="93"/>
      <c r="BW895" s="93"/>
      <c r="BX895" s="93"/>
      <c r="BY895" s="93"/>
      <c r="BZ895" s="93"/>
      <c r="CA895" s="93"/>
      <c r="CB895" s="93"/>
      <c r="CC895" s="93"/>
      <c r="CD895" s="93"/>
      <c r="CE895" s="93"/>
      <c r="CF895" s="93"/>
      <c r="CG895" s="93"/>
      <c r="CH895" s="93"/>
      <c r="CI895" s="93"/>
      <c r="CJ895" s="93"/>
      <c r="CK895" s="93"/>
      <c r="CL895" s="93"/>
      <c r="CM895" s="93"/>
      <c r="CN895" s="93"/>
      <c r="CO895" s="93"/>
      <c r="CP895" s="93"/>
      <c r="CQ895" s="93"/>
      <c r="CR895" s="93"/>
      <c r="CS895" s="93"/>
      <c r="CT895" s="93"/>
      <c r="CU895" s="93"/>
      <c r="CV895" s="93"/>
      <c r="CW895" s="93"/>
      <c r="CX895" s="93"/>
      <c r="CY895" s="93"/>
      <c r="CZ895" s="93"/>
      <c r="DA895" s="93"/>
      <c r="DB895" s="93"/>
      <c r="DC895" s="93"/>
      <c r="DD895" s="93"/>
      <c r="DE895" s="93"/>
      <c r="DF895" s="93"/>
      <c r="DG895" s="93"/>
      <c r="DH895" s="93"/>
      <c r="DI895" s="93"/>
      <c r="DJ895" s="93"/>
      <c r="DK895" s="93"/>
      <c r="DL895" s="93"/>
      <c r="DM895" s="93"/>
      <c r="DN895" s="93"/>
      <c r="DO895" s="93"/>
      <c r="DP895" s="93"/>
      <c r="DQ895" s="93"/>
      <c r="DR895" s="93"/>
      <c r="DS895" s="93"/>
      <c r="DT895" s="93"/>
      <c r="DU895" s="93"/>
      <c r="DV895" s="93"/>
      <c r="DW895" s="93"/>
      <c r="DX895" s="93"/>
      <c r="DY895" s="93"/>
      <c r="DZ895" s="93"/>
      <c r="EA895" s="93"/>
      <c r="EB895" s="93"/>
      <c r="EC895" s="93"/>
      <c r="ED895" s="93"/>
      <c r="EE895" s="93"/>
      <c r="EF895" s="93"/>
      <c r="EG895" s="93"/>
      <c r="EH895" s="93"/>
      <c r="EI895" s="93"/>
      <c r="EJ895" s="93"/>
      <c r="EK895" s="93"/>
      <c r="EL895" s="93"/>
      <c r="EM895" s="93"/>
      <c r="EN895" s="93"/>
      <c r="EO895" s="93"/>
      <c r="EP895" s="93"/>
      <c r="EQ895" s="93"/>
      <c r="ER895" s="93"/>
      <c r="ES895" s="93"/>
      <c r="ET895" s="93"/>
      <c r="EU895" s="93"/>
      <c r="EV895" s="93"/>
      <c r="EW895" s="93"/>
      <c r="EX895" s="93"/>
      <c r="EY895" s="93"/>
      <c r="EZ895" s="93"/>
      <c r="FA895" s="93"/>
      <c r="FB895" s="93"/>
      <c r="FC895" s="93"/>
      <c r="FD895" s="93"/>
      <c r="FE895" s="93"/>
      <c r="FF895" s="93"/>
    </row>
    <row r="896" spans="1:162" ht="15.75" customHeight="1">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3"/>
      <c r="CD896" s="93"/>
      <c r="CE896" s="93"/>
      <c r="CF896" s="93"/>
      <c r="CG896" s="93"/>
      <c r="CH896" s="93"/>
      <c r="CI896" s="93"/>
      <c r="CJ896" s="93"/>
      <c r="CK896" s="93"/>
      <c r="CL896" s="93"/>
      <c r="CM896" s="93"/>
      <c r="CN896" s="93"/>
      <c r="CO896" s="93"/>
      <c r="CP896" s="93"/>
      <c r="CQ896" s="93"/>
      <c r="CR896" s="93"/>
      <c r="CS896" s="93"/>
      <c r="CT896" s="93"/>
      <c r="CU896" s="93"/>
      <c r="CV896" s="93"/>
      <c r="CW896" s="93"/>
      <c r="CX896" s="93"/>
      <c r="CY896" s="93"/>
      <c r="CZ896" s="93"/>
      <c r="DA896" s="93"/>
      <c r="DB896" s="93"/>
      <c r="DC896" s="93"/>
      <c r="DD896" s="93"/>
      <c r="DE896" s="93"/>
      <c r="DF896" s="93"/>
      <c r="DG896" s="93"/>
      <c r="DH896" s="93"/>
      <c r="DI896" s="93"/>
      <c r="DJ896" s="93"/>
      <c r="DK896" s="93"/>
      <c r="DL896" s="93"/>
      <c r="DM896" s="93"/>
      <c r="DN896" s="93"/>
      <c r="DO896" s="93"/>
      <c r="DP896" s="93"/>
      <c r="DQ896" s="93"/>
      <c r="DR896" s="93"/>
      <c r="DS896" s="93"/>
      <c r="DT896" s="93"/>
      <c r="DU896" s="93"/>
      <c r="DV896" s="93"/>
      <c r="DW896" s="93"/>
      <c r="DX896" s="93"/>
      <c r="DY896" s="93"/>
      <c r="DZ896" s="93"/>
      <c r="EA896" s="93"/>
      <c r="EB896" s="93"/>
      <c r="EC896" s="93"/>
      <c r="ED896" s="93"/>
      <c r="EE896" s="93"/>
      <c r="EF896" s="93"/>
      <c r="EG896" s="93"/>
      <c r="EH896" s="93"/>
      <c r="EI896" s="93"/>
      <c r="EJ896" s="93"/>
      <c r="EK896" s="93"/>
      <c r="EL896" s="93"/>
      <c r="EM896" s="93"/>
      <c r="EN896" s="93"/>
      <c r="EO896" s="93"/>
      <c r="EP896" s="93"/>
      <c r="EQ896" s="93"/>
      <c r="ER896" s="93"/>
      <c r="ES896" s="93"/>
      <c r="ET896" s="93"/>
      <c r="EU896" s="93"/>
      <c r="EV896" s="93"/>
      <c r="EW896" s="93"/>
      <c r="EX896" s="93"/>
      <c r="EY896" s="93"/>
      <c r="EZ896" s="93"/>
      <c r="FA896" s="93"/>
      <c r="FB896" s="93"/>
      <c r="FC896" s="93"/>
      <c r="FD896" s="93"/>
      <c r="FE896" s="93"/>
      <c r="FF896" s="93"/>
    </row>
    <row r="897" spans="1:162" ht="15.75" customHeight="1">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c r="BS897" s="93"/>
      <c r="BT897" s="93"/>
      <c r="BU897" s="93"/>
      <c r="BV897" s="93"/>
      <c r="BW897" s="93"/>
      <c r="BX897" s="93"/>
      <c r="BY897" s="93"/>
      <c r="BZ897" s="93"/>
      <c r="CA897" s="93"/>
      <c r="CB897" s="93"/>
      <c r="CC897" s="93"/>
      <c r="CD897" s="93"/>
      <c r="CE897" s="93"/>
      <c r="CF897" s="93"/>
      <c r="CG897" s="93"/>
      <c r="CH897" s="93"/>
      <c r="CI897" s="93"/>
      <c r="CJ897" s="93"/>
      <c r="CK897" s="93"/>
      <c r="CL897" s="93"/>
      <c r="CM897" s="93"/>
      <c r="CN897" s="93"/>
      <c r="CO897" s="93"/>
      <c r="CP897" s="93"/>
      <c r="CQ897" s="93"/>
      <c r="CR897" s="93"/>
      <c r="CS897" s="93"/>
      <c r="CT897" s="93"/>
      <c r="CU897" s="93"/>
      <c r="CV897" s="93"/>
      <c r="CW897" s="93"/>
      <c r="CX897" s="93"/>
      <c r="CY897" s="93"/>
      <c r="CZ897" s="93"/>
      <c r="DA897" s="93"/>
      <c r="DB897" s="93"/>
      <c r="DC897" s="93"/>
      <c r="DD897" s="93"/>
      <c r="DE897" s="93"/>
      <c r="DF897" s="93"/>
      <c r="DG897" s="93"/>
      <c r="DH897" s="93"/>
      <c r="DI897" s="93"/>
      <c r="DJ897" s="93"/>
      <c r="DK897" s="93"/>
      <c r="DL897" s="93"/>
      <c r="DM897" s="93"/>
      <c r="DN897" s="93"/>
      <c r="DO897" s="93"/>
      <c r="DP897" s="93"/>
      <c r="DQ897" s="93"/>
      <c r="DR897" s="93"/>
      <c r="DS897" s="93"/>
      <c r="DT897" s="93"/>
      <c r="DU897" s="93"/>
      <c r="DV897" s="93"/>
      <c r="DW897" s="93"/>
      <c r="DX897" s="93"/>
      <c r="DY897" s="93"/>
      <c r="DZ897" s="93"/>
      <c r="EA897" s="93"/>
      <c r="EB897" s="93"/>
      <c r="EC897" s="93"/>
      <c r="ED897" s="93"/>
      <c r="EE897" s="93"/>
      <c r="EF897" s="93"/>
      <c r="EG897" s="93"/>
      <c r="EH897" s="93"/>
      <c r="EI897" s="93"/>
      <c r="EJ897" s="93"/>
      <c r="EK897" s="93"/>
      <c r="EL897" s="93"/>
      <c r="EM897" s="93"/>
      <c r="EN897" s="93"/>
      <c r="EO897" s="93"/>
      <c r="EP897" s="93"/>
      <c r="EQ897" s="93"/>
      <c r="ER897" s="93"/>
      <c r="ES897" s="93"/>
      <c r="ET897" s="93"/>
      <c r="EU897" s="93"/>
      <c r="EV897" s="93"/>
      <c r="EW897" s="93"/>
      <c r="EX897" s="93"/>
      <c r="EY897" s="93"/>
      <c r="EZ897" s="93"/>
      <c r="FA897" s="93"/>
      <c r="FB897" s="93"/>
      <c r="FC897" s="93"/>
      <c r="FD897" s="93"/>
      <c r="FE897" s="93"/>
      <c r="FF897" s="93"/>
    </row>
    <row r="898" spans="1:162" ht="15.75" customHeight="1">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c r="CC898" s="93"/>
      <c r="CD898" s="93"/>
      <c r="CE898" s="93"/>
      <c r="CF898" s="93"/>
      <c r="CG898" s="93"/>
      <c r="CH898" s="93"/>
      <c r="CI898" s="93"/>
      <c r="CJ898" s="93"/>
      <c r="CK898" s="93"/>
      <c r="CL898" s="93"/>
      <c r="CM898" s="93"/>
      <c r="CN898" s="93"/>
      <c r="CO898" s="93"/>
      <c r="CP898" s="93"/>
      <c r="CQ898" s="93"/>
      <c r="CR898" s="93"/>
      <c r="CS898" s="93"/>
      <c r="CT898" s="93"/>
      <c r="CU898" s="93"/>
      <c r="CV898" s="93"/>
      <c r="CW898" s="93"/>
      <c r="CX898" s="93"/>
      <c r="CY898" s="93"/>
      <c r="CZ898" s="93"/>
      <c r="DA898" s="93"/>
      <c r="DB898" s="93"/>
      <c r="DC898" s="93"/>
      <c r="DD898" s="93"/>
      <c r="DE898" s="93"/>
      <c r="DF898" s="93"/>
      <c r="DG898" s="93"/>
      <c r="DH898" s="93"/>
      <c r="DI898" s="93"/>
      <c r="DJ898" s="93"/>
      <c r="DK898" s="93"/>
      <c r="DL898" s="93"/>
      <c r="DM898" s="93"/>
      <c r="DN898" s="93"/>
      <c r="DO898" s="93"/>
      <c r="DP898" s="93"/>
      <c r="DQ898" s="93"/>
      <c r="DR898" s="93"/>
      <c r="DS898" s="93"/>
      <c r="DT898" s="93"/>
      <c r="DU898" s="93"/>
      <c r="DV898" s="93"/>
      <c r="DW898" s="93"/>
      <c r="DX898" s="93"/>
      <c r="DY898" s="93"/>
      <c r="DZ898" s="93"/>
      <c r="EA898" s="93"/>
      <c r="EB898" s="93"/>
      <c r="EC898" s="93"/>
      <c r="ED898" s="93"/>
      <c r="EE898" s="93"/>
      <c r="EF898" s="93"/>
      <c r="EG898" s="93"/>
      <c r="EH898" s="93"/>
      <c r="EI898" s="93"/>
      <c r="EJ898" s="93"/>
      <c r="EK898" s="93"/>
      <c r="EL898" s="93"/>
      <c r="EM898" s="93"/>
      <c r="EN898" s="93"/>
      <c r="EO898" s="93"/>
      <c r="EP898" s="93"/>
      <c r="EQ898" s="93"/>
      <c r="ER898" s="93"/>
      <c r="ES898" s="93"/>
      <c r="ET898" s="93"/>
      <c r="EU898" s="93"/>
      <c r="EV898" s="93"/>
      <c r="EW898" s="93"/>
      <c r="EX898" s="93"/>
      <c r="EY898" s="93"/>
      <c r="EZ898" s="93"/>
      <c r="FA898" s="93"/>
      <c r="FB898" s="93"/>
      <c r="FC898" s="93"/>
      <c r="FD898" s="93"/>
      <c r="FE898" s="93"/>
      <c r="FF898" s="93"/>
    </row>
    <row r="899" spans="1:162" ht="15.75" customHeight="1">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c r="BS899" s="93"/>
      <c r="BT899" s="93"/>
      <c r="BU899" s="93"/>
      <c r="BV899" s="93"/>
      <c r="BW899" s="93"/>
      <c r="BX899" s="93"/>
      <c r="BY899" s="93"/>
      <c r="BZ899" s="93"/>
      <c r="CA899" s="93"/>
      <c r="CB899" s="93"/>
      <c r="CC899" s="93"/>
      <c r="CD899" s="93"/>
      <c r="CE899" s="93"/>
      <c r="CF899" s="93"/>
      <c r="CG899" s="93"/>
      <c r="CH899" s="93"/>
      <c r="CI899" s="93"/>
      <c r="CJ899" s="93"/>
      <c r="CK899" s="93"/>
      <c r="CL899" s="93"/>
      <c r="CM899" s="93"/>
      <c r="CN899" s="93"/>
      <c r="CO899" s="93"/>
      <c r="CP899" s="93"/>
      <c r="CQ899" s="93"/>
      <c r="CR899" s="93"/>
      <c r="CS899" s="93"/>
      <c r="CT899" s="93"/>
      <c r="CU899" s="93"/>
      <c r="CV899" s="93"/>
      <c r="CW899" s="93"/>
      <c r="CX899" s="93"/>
      <c r="CY899" s="93"/>
      <c r="CZ899" s="93"/>
      <c r="DA899" s="93"/>
      <c r="DB899" s="93"/>
      <c r="DC899" s="93"/>
      <c r="DD899" s="93"/>
      <c r="DE899" s="93"/>
      <c r="DF899" s="93"/>
      <c r="DG899" s="93"/>
      <c r="DH899" s="93"/>
      <c r="DI899" s="93"/>
      <c r="DJ899" s="93"/>
      <c r="DK899" s="93"/>
      <c r="DL899" s="93"/>
      <c r="DM899" s="93"/>
      <c r="DN899" s="93"/>
      <c r="DO899" s="93"/>
      <c r="DP899" s="93"/>
      <c r="DQ899" s="93"/>
      <c r="DR899" s="93"/>
      <c r="DS899" s="93"/>
      <c r="DT899" s="93"/>
      <c r="DU899" s="93"/>
      <c r="DV899" s="93"/>
      <c r="DW899" s="93"/>
      <c r="DX899" s="93"/>
      <c r="DY899" s="93"/>
      <c r="DZ899" s="93"/>
      <c r="EA899" s="93"/>
      <c r="EB899" s="93"/>
      <c r="EC899" s="93"/>
      <c r="ED899" s="93"/>
      <c r="EE899" s="93"/>
      <c r="EF899" s="93"/>
      <c r="EG899" s="93"/>
      <c r="EH899" s="93"/>
      <c r="EI899" s="93"/>
      <c r="EJ899" s="93"/>
      <c r="EK899" s="93"/>
      <c r="EL899" s="93"/>
      <c r="EM899" s="93"/>
      <c r="EN899" s="93"/>
      <c r="EO899" s="93"/>
      <c r="EP899" s="93"/>
      <c r="EQ899" s="93"/>
      <c r="ER899" s="93"/>
      <c r="ES899" s="93"/>
      <c r="ET899" s="93"/>
      <c r="EU899" s="93"/>
      <c r="EV899" s="93"/>
      <c r="EW899" s="93"/>
      <c r="EX899" s="93"/>
      <c r="EY899" s="93"/>
      <c r="EZ899" s="93"/>
      <c r="FA899" s="93"/>
      <c r="FB899" s="93"/>
      <c r="FC899" s="93"/>
      <c r="FD899" s="93"/>
      <c r="FE899" s="93"/>
      <c r="FF899" s="93"/>
    </row>
    <row r="900" spans="1:162" ht="15.75" customHeight="1">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c r="CC900" s="93"/>
      <c r="CD900" s="93"/>
      <c r="CE900" s="93"/>
      <c r="CF900" s="93"/>
      <c r="CG900" s="93"/>
      <c r="CH900" s="93"/>
      <c r="CI900" s="93"/>
      <c r="CJ900" s="93"/>
      <c r="CK900" s="93"/>
      <c r="CL900" s="93"/>
      <c r="CM900" s="93"/>
      <c r="CN900" s="93"/>
      <c r="CO900" s="93"/>
      <c r="CP900" s="93"/>
      <c r="CQ900" s="93"/>
      <c r="CR900" s="93"/>
      <c r="CS900" s="93"/>
      <c r="CT900" s="93"/>
      <c r="CU900" s="93"/>
      <c r="CV900" s="93"/>
      <c r="CW900" s="93"/>
      <c r="CX900" s="93"/>
      <c r="CY900" s="93"/>
      <c r="CZ900" s="93"/>
      <c r="DA900" s="93"/>
      <c r="DB900" s="93"/>
      <c r="DC900" s="93"/>
      <c r="DD900" s="93"/>
      <c r="DE900" s="93"/>
      <c r="DF900" s="93"/>
      <c r="DG900" s="93"/>
      <c r="DH900" s="93"/>
      <c r="DI900" s="93"/>
      <c r="DJ900" s="93"/>
      <c r="DK900" s="93"/>
      <c r="DL900" s="93"/>
      <c r="DM900" s="93"/>
      <c r="DN900" s="93"/>
      <c r="DO900" s="93"/>
      <c r="DP900" s="93"/>
      <c r="DQ900" s="93"/>
      <c r="DR900" s="93"/>
      <c r="DS900" s="93"/>
      <c r="DT900" s="93"/>
      <c r="DU900" s="93"/>
      <c r="DV900" s="93"/>
      <c r="DW900" s="93"/>
      <c r="DX900" s="93"/>
      <c r="DY900" s="93"/>
      <c r="DZ900" s="93"/>
      <c r="EA900" s="93"/>
      <c r="EB900" s="93"/>
      <c r="EC900" s="93"/>
      <c r="ED900" s="93"/>
      <c r="EE900" s="93"/>
      <c r="EF900" s="93"/>
      <c r="EG900" s="93"/>
      <c r="EH900" s="93"/>
      <c r="EI900" s="93"/>
      <c r="EJ900" s="93"/>
      <c r="EK900" s="93"/>
      <c r="EL900" s="93"/>
      <c r="EM900" s="93"/>
      <c r="EN900" s="93"/>
      <c r="EO900" s="93"/>
      <c r="EP900" s="93"/>
      <c r="EQ900" s="93"/>
      <c r="ER900" s="93"/>
      <c r="ES900" s="93"/>
      <c r="ET900" s="93"/>
      <c r="EU900" s="93"/>
      <c r="EV900" s="93"/>
      <c r="EW900" s="93"/>
      <c r="EX900" s="93"/>
      <c r="EY900" s="93"/>
      <c r="EZ900" s="93"/>
      <c r="FA900" s="93"/>
      <c r="FB900" s="93"/>
      <c r="FC900" s="93"/>
      <c r="FD900" s="93"/>
      <c r="FE900" s="93"/>
      <c r="FF900" s="93"/>
    </row>
    <row r="901" spans="1:162" ht="15.75" customHeight="1">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c r="BS901" s="93"/>
      <c r="BT901" s="93"/>
      <c r="BU901" s="93"/>
      <c r="BV901" s="93"/>
      <c r="BW901" s="93"/>
      <c r="BX901" s="93"/>
      <c r="BY901" s="93"/>
      <c r="BZ901" s="93"/>
      <c r="CA901" s="93"/>
      <c r="CB901" s="93"/>
      <c r="CC901" s="93"/>
      <c r="CD901" s="93"/>
      <c r="CE901" s="93"/>
      <c r="CF901" s="93"/>
      <c r="CG901" s="93"/>
      <c r="CH901" s="93"/>
      <c r="CI901" s="93"/>
      <c r="CJ901" s="93"/>
      <c r="CK901" s="93"/>
      <c r="CL901" s="93"/>
      <c r="CM901" s="93"/>
      <c r="CN901" s="93"/>
      <c r="CO901" s="93"/>
      <c r="CP901" s="93"/>
      <c r="CQ901" s="93"/>
      <c r="CR901" s="93"/>
      <c r="CS901" s="93"/>
      <c r="CT901" s="93"/>
      <c r="CU901" s="93"/>
      <c r="CV901" s="93"/>
      <c r="CW901" s="93"/>
      <c r="CX901" s="93"/>
      <c r="CY901" s="93"/>
      <c r="CZ901" s="93"/>
      <c r="DA901" s="93"/>
      <c r="DB901" s="93"/>
      <c r="DC901" s="93"/>
      <c r="DD901" s="93"/>
      <c r="DE901" s="93"/>
      <c r="DF901" s="93"/>
      <c r="DG901" s="93"/>
      <c r="DH901" s="93"/>
      <c r="DI901" s="93"/>
      <c r="DJ901" s="93"/>
      <c r="DK901" s="93"/>
      <c r="DL901" s="93"/>
      <c r="DM901" s="93"/>
      <c r="DN901" s="93"/>
      <c r="DO901" s="93"/>
      <c r="DP901" s="93"/>
      <c r="DQ901" s="93"/>
      <c r="DR901" s="93"/>
      <c r="DS901" s="93"/>
      <c r="DT901" s="93"/>
      <c r="DU901" s="93"/>
      <c r="DV901" s="93"/>
      <c r="DW901" s="93"/>
      <c r="DX901" s="93"/>
      <c r="DY901" s="93"/>
      <c r="DZ901" s="93"/>
      <c r="EA901" s="93"/>
      <c r="EB901" s="93"/>
      <c r="EC901" s="93"/>
      <c r="ED901" s="93"/>
      <c r="EE901" s="93"/>
      <c r="EF901" s="93"/>
      <c r="EG901" s="93"/>
      <c r="EH901" s="93"/>
      <c r="EI901" s="93"/>
      <c r="EJ901" s="93"/>
      <c r="EK901" s="93"/>
      <c r="EL901" s="93"/>
      <c r="EM901" s="93"/>
      <c r="EN901" s="93"/>
      <c r="EO901" s="93"/>
      <c r="EP901" s="93"/>
      <c r="EQ901" s="93"/>
      <c r="ER901" s="93"/>
      <c r="ES901" s="93"/>
      <c r="ET901" s="93"/>
      <c r="EU901" s="93"/>
      <c r="EV901" s="93"/>
      <c r="EW901" s="93"/>
      <c r="EX901" s="93"/>
      <c r="EY901" s="93"/>
      <c r="EZ901" s="93"/>
      <c r="FA901" s="93"/>
      <c r="FB901" s="93"/>
      <c r="FC901" s="93"/>
      <c r="FD901" s="93"/>
      <c r="FE901" s="93"/>
      <c r="FF901" s="93"/>
    </row>
    <row r="902" spans="1:162" ht="15.75" customHeight="1">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c r="BS902" s="93"/>
      <c r="BT902" s="93"/>
      <c r="BU902" s="93"/>
      <c r="BV902" s="93"/>
      <c r="BW902" s="93"/>
      <c r="BX902" s="93"/>
      <c r="BY902" s="93"/>
      <c r="BZ902" s="93"/>
      <c r="CA902" s="93"/>
      <c r="CB902" s="93"/>
      <c r="CC902" s="93"/>
      <c r="CD902" s="93"/>
      <c r="CE902" s="93"/>
      <c r="CF902" s="93"/>
      <c r="CG902" s="93"/>
      <c r="CH902" s="93"/>
      <c r="CI902" s="93"/>
      <c r="CJ902" s="93"/>
      <c r="CK902" s="93"/>
      <c r="CL902" s="93"/>
      <c r="CM902" s="93"/>
      <c r="CN902" s="93"/>
      <c r="CO902" s="93"/>
      <c r="CP902" s="93"/>
      <c r="CQ902" s="93"/>
      <c r="CR902" s="93"/>
      <c r="CS902" s="93"/>
      <c r="CT902" s="93"/>
      <c r="CU902" s="93"/>
      <c r="CV902" s="93"/>
      <c r="CW902" s="93"/>
      <c r="CX902" s="93"/>
      <c r="CY902" s="93"/>
      <c r="CZ902" s="93"/>
      <c r="DA902" s="93"/>
      <c r="DB902" s="93"/>
      <c r="DC902" s="93"/>
      <c r="DD902" s="93"/>
      <c r="DE902" s="93"/>
      <c r="DF902" s="93"/>
      <c r="DG902" s="93"/>
      <c r="DH902" s="93"/>
      <c r="DI902" s="93"/>
      <c r="DJ902" s="93"/>
      <c r="DK902" s="93"/>
      <c r="DL902" s="93"/>
      <c r="DM902" s="93"/>
      <c r="DN902" s="93"/>
      <c r="DO902" s="93"/>
      <c r="DP902" s="93"/>
      <c r="DQ902" s="93"/>
      <c r="DR902" s="93"/>
      <c r="DS902" s="93"/>
      <c r="DT902" s="93"/>
      <c r="DU902" s="93"/>
      <c r="DV902" s="93"/>
      <c r="DW902" s="93"/>
      <c r="DX902" s="93"/>
      <c r="DY902" s="93"/>
      <c r="DZ902" s="93"/>
      <c r="EA902" s="93"/>
      <c r="EB902" s="93"/>
      <c r="EC902" s="93"/>
      <c r="ED902" s="93"/>
      <c r="EE902" s="93"/>
      <c r="EF902" s="93"/>
      <c r="EG902" s="93"/>
      <c r="EH902" s="93"/>
      <c r="EI902" s="93"/>
      <c r="EJ902" s="93"/>
      <c r="EK902" s="93"/>
      <c r="EL902" s="93"/>
      <c r="EM902" s="93"/>
      <c r="EN902" s="93"/>
      <c r="EO902" s="93"/>
      <c r="EP902" s="93"/>
      <c r="EQ902" s="93"/>
      <c r="ER902" s="93"/>
      <c r="ES902" s="93"/>
      <c r="ET902" s="93"/>
      <c r="EU902" s="93"/>
      <c r="EV902" s="93"/>
      <c r="EW902" s="93"/>
      <c r="EX902" s="93"/>
      <c r="EY902" s="93"/>
      <c r="EZ902" s="93"/>
      <c r="FA902" s="93"/>
      <c r="FB902" s="93"/>
      <c r="FC902" s="93"/>
      <c r="FD902" s="93"/>
      <c r="FE902" s="93"/>
      <c r="FF902" s="93"/>
    </row>
    <row r="903" spans="1:162" ht="15.75" customHeight="1">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c r="BG903" s="93"/>
      <c r="BH903" s="93"/>
      <c r="BI903" s="93"/>
      <c r="BJ903" s="93"/>
      <c r="BK903" s="93"/>
      <c r="BL903" s="93"/>
      <c r="BM903" s="93"/>
      <c r="BN903" s="93"/>
      <c r="BO903" s="93"/>
      <c r="BP903" s="93"/>
      <c r="BQ903" s="93"/>
      <c r="BR903" s="93"/>
      <c r="BS903" s="93"/>
      <c r="BT903" s="93"/>
      <c r="BU903" s="93"/>
      <c r="BV903" s="93"/>
      <c r="BW903" s="93"/>
      <c r="BX903" s="93"/>
      <c r="BY903" s="93"/>
      <c r="BZ903" s="93"/>
      <c r="CA903" s="93"/>
      <c r="CB903" s="93"/>
      <c r="CC903" s="93"/>
      <c r="CD903" s="93"/>
      <c r="CE903" s="93"/>
      <c r="CF903" s="93"/>
      <c r="CG903" s="93"/>
      <c r="CH903" s="93"/>
      <c r="CI903" s="93"/>
      <c r="CJ903" s="93"/>
      <c r="CK903" s="93"/>
      <c r="CL903" s="93"/>
      <c r="CM903" s="93"/>
      <c r="CN903" s="93"/>
      <c r="CO903" s="93"/>
      <c r="CP903" s="93"/>
      <c r="CQ903" s="93"/>
      <c r="CR903" s="93"/>
      <c r="CS903" s="93"/>
      <c r="CT903" s="93"/>
      <c r="CU903" s="93"/>
      <c r="CV903" s="93"/>
      <c r="CW903" s="93"/>
      <c r="CX903" s="93"/>
      <c r="CY903" s="93"/>
      <c r="CZ903" s="93"/>
      <c r="DA903" s="93"/>
      <c r="DB903" s="93"/>
      <c r="DC903" s="93"/>
      <c r="DD903" s="93"/>
      <c r="DE903" s="93"/>
      <c r="DF903" s="93"/>
      <c r="DG903" s="93"/>
      <c r="DH903" s="93"/>
      <c r="DI903" s="93"/>
      <c r="DJ903" s="93"/>
      <c r="DK903" s="93"/>
      <c r="DL903" s="93"/>
      <c r="DM903" s="93"/>
      <c r="DN903" s="93"/>
      <c r="DO903" s="93"/>
      <c r="DP903" s="93"/>
      <c r="DQ903" s="93"/>
      <c r="DR903" s="93"/>
      <c r="DS903" s="93"/>
      <c r="DT903" s="93"/>
      <c r="DU903" s="93"/>
      <c r="DV903" s="93"/>
      <c r="DW903" s="93"/>
      <c r="DX903" s="93"/>
      <c r="DY903" s="93"/>
      <c r="DZ903" s="93"/>
      <c r="EA903" s="93"/>
      <c r="EB903" s="93"/>
      <c r="EC903" s="93"/>
      <c r="ED903" s="93"/>
      <c r="EE903" s="93"/>
      <c r="EF903" s="93"/>
      <c r="EG903" s="93"/>
      <c r="EH903" s="93"/>
      <c r="EI903" s="93"/>
      <c r="EJ903" s="93"/>
      <c r="EK903" s="93"/>
      <c r="EL903" s="93"/>
      <c r="EM903" s="93"/>
      <c r="EN903" s="93"/>
      <c r="EO903" s="93"/>
      <c r="EP903" s="93"/>
      <c r="EQ903" s="93"/>
      <c r="ER903" s="93"/>
      <c r="ES903" s="93"/>
      <c r="ET903" s="93"/>
      <c r="EU903" s="93"/>
      <c r="EV903" s="93"/>
      <c r="EW903" s="93"/>
      <c r="EX903" s="93"/>
      <c r="EY903" s="93"/>
      <c r="EZ903" s="93"/>
      <c r="FA903" s="93"/>
      <c r="FB903" s="93"/>
      <c r="FC903" s="93"/>
      <c r="FD903" s="93"/>
      <c r="FE903" s="93"/>
      <c r="FF903" s="93"/>
    </row>
    <row r="904" spans="1:162" ht="15.75" customHeight="1">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c r="BS904" s="93"/>
      <c r="BT904" s="93"/>
      <c r="BU904" s="93"/>
      <c r="BV904" s="93"/>
      <c r="BW904" s="93"/>
      <c r="BX904" s="93"/>
      <c r="BY904" s="93"/>
      <c r="BZ904" s="93"/>
      <c r="CA904" s="93"/>
      <c r="CB904" s="93"/>
      <c r="CC904" s="93"/>
      <c r="CD904" s="93"/>
      <c r="CE904" s="93"/>
      <c r="CF904" s="93"/>
      <c r="CG904" s="93"/>
      <c r="CH904" s="93"/>
      <c r="CI904" s="93"/>
      <c r="CJ904" s="93"/>
      <c r="CK904" s="93"/>
      <c r="CL904" s="93"/>
      <c r="CM904" s="93"/>
      <c r="CN904" s="93"/>
      <c r="CO904" s="93"/>
      <c r="CP904" s="93"/>
      <c r="CQ904" s="93"/>
      <c r="CR904" s="93"/>
      <c r="CS904" s="93"/>
      <c r="CT904" s="93"/>
      <c r="CU904" s="93"/>
      <c r="CV904" s="93"/>
      <c r="CW904" s="93"/>
      <c r="CX904" s="93"/>
      <c r="CY904" s="93"/>
      <c r="CZ904" s="93"/>
      <c r="DA904" s="93"/>
      <c r="DB904" s="93"/>
      <c r="DC904" s="93"/>
      <c r="DD904" s="93"/>
      <c r="DE904" s="93"/>
      <c r="DF904" s="93"/>
      <c r="DG904" s="93"/>
      <c r="DH904" s="93"/>
      <c r="DI904" s="93"/>
      <c r="DJ904" s="93"/>
      <c r="DK904" s="93"/>
      <c r="DL904" s="93"/>
      <c r="DM904" s="93"/>
      <c r="DN904" s="93"/>
      <c r="DO904" s="93"/>
      <c r="DP904" s="93"/>
      <c r="DQ904" s="93"/>
      <c r="DR904" s="93"/>
      <c r="DS904" s="93"/>
      <c r="DT904" s="93"/>
      <c r="DU904" s="93"/>
      <c r="DV904" s="93"/>
      <c r="DW904" s="93"/>
      <c r="DX904" s="93"/>
      <c r="DY904" s="93"/>
      <c r="DZ904" s="93"/>
      <c r="EA904" s="93"/>
      <c r="EB904" s="93"/>
      <c r="EC904" s="93"/>
      <c r="ED904" s="93"/>
      <c r="EE904" s="93"/>
      <c r="EF904" s="93"/>
      <c r="EG904" s="93"/>
      <c r="EH904" s="93"/>
      <c r="EI904" s="93"/>
      <c r="EJ904" s="93"/>
      <c r="EK904" s="93"/>
      <c r="EL904" s="93"/>
      <c r="EM904" s="93"/>
      <c r="EN904" s="93"/>
      <c r="EO904" s="93"/>
      <c r="EP904" s="93"/>
      <c r="EQ904" s="93"/>
      <c r="ER904" s="93"/>
      <c r="ES904" s="93"/>
      <c r="ET904" s="93"/>
      <c r="EU904" s="93"/>
      <c r="EV904" s="93"/>
      <c r="EW904" s="93"/>
      <c r="EX904" s="93"/>
      <c r="EY904" s="93"/>
      <c r="EZ904" s="93"/>
      <c r="FA904" s="93"/>
      <c r="FB904" s="93"/>
      <c r="FC904" s="93"/>
      <c r="FD904" s="93"/>
      <c r="FE904" s="93"/>
      <c r="FF904" s="93"/>
    </row>
    <row r="905" spans="1:162" ht="15.75" customHeight="1">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c r="BS905" s="93"/>
      <c r="BT905" s="93"/>
      <c r="BU905" s="93"/>
      <c r="BV905" s="93"/>
      <c r="BW905" s="93"/>
      <c r="BX905" s="93"/>
      <c r="BY905" s="93"/>
      <c r="BZ905" s="93"/>
      <c r="CA905" s="93"/>
      <c r="CB905" s="93"/>
      <c r="CC905" s="93"/>
      <c r="CD905" s="93"/>
      <c r="CE905" s="93"/>
      <c r="CF905" s="93"/>
      <c r="CG905" s="93"/>
      <c r="CH905" s="93"/>
      <c r="CI905" s="93"/>
      <c r="CJ905" s="93"/>
      <c r="CK905" s="93"/>
      <c r="CL905" s="93"/>
      <c r="CM905" s="93"/>
      <c r="CN905" s="93"/>
      <c r="CO905" s="93"/>
      <c r="CP905" s="93"/>
      <c r="CQ905" s="93"/>
      <c r="CR905" s="93"/>
      <c r="CS905" s="93"/>
      <c r="CT905" s="93"/>
      <c r="CU905" s="93"/>
      <c r="CV905" s="93"/>
      <c r="CW905" s="93"/>
      <c r="CX905" s="93"/>
      <c r="CY905" s="93"/>
      <c r="CZ905" s="93"/>
      <c r="DA905" s="93"/>
      <c r="DB905" s="93"/>
      <c r="DC905" s="93"/>
      <c r="DD905" s="93"/>
      <c r="DE905" s="93"/>
      <c r="DF905" s="93"/>
      <c r="DG905" s="93"/>
      <c r="DH905" s="93"/>
      <c r="DI905" s="93"/>
      <c r="DJ905" s="93"/>
      <c r="DK905" s="93"/>
      <c r="DL905" s="93"/>
      <c r="DM905" s="93"/>
      <c r="DN905" s="93"/>
      <c r="DO905" s="93"/>
      <c r="DP905" s="93"/>
      <c r="DQ905" s="93"/>
      <c r="DR905" s="93"/>
      <c r="DS905" s="93"/>
      <c r="DT905" s="93"/>
      <c r="DU905" s="93"/>
      <c r="DV905" s="93"/>
      <c r="DW905" s="93"/>
      <c r="DX905" s="93"/>
      <c r="DY905" s="93"/>
      <c r="DZ905" s="93"/>
      <c r="EA905" s="93"/>
      <c r="EB905" s="93"/>
      <c r="EC905" s="93"/>
      <c r="ED905" s="93"/>
      <c r="EE905" s="93"/>
      <c r="EF905" s="93"/>
      <c r="EG905" s="93"/>
      <c r="EH905" s="93"/>
      <c r="EI905" s="93"/>
      <c r="EJ905" s="93"/>
      <c r="EK905" s="93"/>
      <c r="EL905" s="93"/>
      <c r="EM905" s="93"/>
      <c r="EN905" s="93"/>
      <c r="EO905" s="93"/>
      <c r="EP905" s="93"/>
      <c r="EQ905" s="93"/>
      <c r="ER905" s="93"/>
      <c r="ES905" s="93"/>
      <c r="ET905" s="93"/>
      <c r="EU905" s="93"/>
      <c r="EV905" s="93"/>
      <c r="EW905" s="93"/>
      <c r="EX905" s="93"/>
      <c r="EY905" s="93"/>
      <c r="EZ905" s="93"/>
      <c r="FA905" s="93"/>
      <c r="FB905" s="93"/>
      <c r="FC905" s="93"/>
      <c r="FD905" s="93"/>
      <c r="FE905" s="93"/>
      <c r="FF905" s="93"/>
    </row>
    <row r="906" spans="1:162" ht="15.75" customHeight="1">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Q906" s="93"/>
      <c r="BR906" s="93"/>
      <c r="BS906" s="93"/>
      <c r="BT906" s="93"/>
      <c r="BU906" s="93"/>
      <c r="BV906" s="93"/>
      <c r="BW906" s="93"/>
      <c r="BX906" s="93"/>
      <c r="BY906" s="93"/>
      <c r="BZ906" s="93"/>
      <c r="CA906" s="93"/>
      <c r="CB906" s="93"/>
      <c r="CC906" s="93"/>
      <c r="CD906" s="93"/>
      <c r="CE906" s="93"/>
      <c r="CF906" s="93"/>
      <c r="CG906" s="93"/>
      <c r="CH906" s="93"/>
      <c r="CI906" s="93"/>
      <c r="CJ906" s="93"/>
      <c r="CK906" s="93"/>
      <c r="CL906" s="93"/>
      <c r="CM906" s="93"/>
      <c r="CN906" s="93"/>
      <c r="CO906" s="93"/>
      <c r="CP906" s="93"/>
      <c r="CQ906" s="93"/>
      <c r="CR906" s="93"/>
      <c r="CS906" s="93"/>
      <c r="CT906" s="93"/>
      <c r="CU906" s="93"/>
      <c r="CV906" s="93"/>
      <c r="CW906" s="93"/>
      <c r="CX906" s="93"/>
      <c r="CY906" s="93"/>
      <c r="CZ906" s="93"/>
      <c r="DA906" s="93"/>
      <c r="DB906" s="93"/>
      <c r="DC906" s="93"/>
      <c r="DD906" s="93"/>
      <c r="DE906" s="93"/>
      <c r="DF906" s="93"/>
      <c r="DG906" s="93"/>
      <c r="DH906" s="93"/>
      <c r="DI906" s="93"/>
      <c r="DJ906" s="93"/>
      <c r="DK906" s="93"/>
      <c r="DL906" s="93"/>
      <c r="DM906" s="93"/>
      <c r="DN906" s="93"/>
      <c r="DO906" s="93"/>
      <c r="DP906" s="93"/>
      <c r="DQ906" s="93"/>
      <c r="DR906" s="93"/>
      <c r="DS906" s="93"/>
      <c r="DT906" s="93"/>
      <c r="DU906" s="93"/>
      <c r="DV906" s="93"/>
      <c r="DW906" s="93"/>
      <c r="DX906" s="93"/>
      <c r="DY906" s="93"/>
      <c r="DZ906" s="93"/>
      <c r="EA906" s="93"/>
      <c r="EB906" s="93"/>
      <c r="EC906" s="93"/>
      <c r="ED906" s="93"/>
      <c r="EE906" s="93"/>
      <c r="EF906" s="93"/>
      <c r="EG906" s="93"/>
      <c r="EH906" s="93"/>
      <c r="EI906" s="93"/>
      <c r="EJ906" s="93"/>
      <c r="EK906" s="93"/>
      <c r="EL906" s="93"/>
      <c r="EM906" s="93"/>
      <c r="EN906" s="93"/>
      <c r="EO906" s="93"/>
      <c r="EP906" s="93"/>
      <c r="EQ906" s="93"/>
      <c r="ER906" s="93"/>
      <c r="ES906" s="93"/>
      <c r="ET906" s="93"/>
      <c r="EU906" s="93"/>
      <c r="EV906" s="93"/>
      <c r="EW906" s="93"/>
      <c r="EX906" s="93"/>
      <c r="EY906" s="93"/>
      <c r="EZ906" s="93"/>
      <c r="FA906" s="93"/>
      <c r="FB906" s="93"/>
      <c r="FC906" s="93"/>
      <c r="FD906" s="93"/>
      <c r="FE906" s="93"/>
      <c r="FF906" s="93"/>
    </row>
    <row r="907" spans="1:162" ht="15.75" customHeight="1">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Q907" s="93"/>
      <c r="BR907" s="93"/>
      <c r="BS907" s="93"/>
      <c r="BT907" s="93"/>
      <c r="BU907" s="93"/>
      <c r="BV907" s="93"/>
      <c r="BW907" s="93"/>
      <c r="BX907" s="93"/>
      <c r="BY907" s="93"/>
      <c r="BZ907" s="93"/>
      <c r="CA907" s="93"/>
      <c r="CB907" s="93"/>
      <c r="CC907" s="93"/>
      <c r="CD907" s="93"/>
      <c r="CE907" s="93"/>
      <c r="CF907" s="93"/>
      <c r="CG907" s="93"/>
      <c r="CH907" s="93"/>
      <c r="CI907" s="93"/>
      <c r="CJ907" s="93"/>
      <c r="CK907" s="93"/>
      <c r="CL907" s="93"/>
      <c r="CM907" s="93"/>
      <c r="CN907" s="93"/>
      <c r="CO907" s="93"/>
      <c r="CP907" s="93"/>
      <c r="CQ907" s="93"/>
      <c r="CR907" s="93"/>
      <c r="CS907" s="93"/>
      <c r="CT907" s="93"/>
      <c r="CU907" s="93"/>
      <c r="CV907" s="93"/>
      <c r="CW907" s="93"/>
      <c r="CX907" s="93"/>
      <c r="CY907" s="93"/>
      <c r="CZ907" s="93"/>
      <c r="DA907" s="93"/>
      <c r="DB907" s="93"/>
      <c r="DC907" s="93"/>
      <c r="DD907" s="93"/>
      <c r="DE907" s="93"/>
      <c r="DF907" s="93"/>
      <c r="DG907" s="93"/>
      <c r="DH907" s="93"/>
      <c r="DI907" s="93"/>
      <c r="DJ907" s="93"/>
      <c r="DK907" s="93"/>
      <c r="DL907" s="93"/>
      <c r="DM907" s="93"/>
      <c r="DN907" s="93"/>
      <c r="DO907" s="93"/>
      <c r="DP907" s="93"/>
      <c r="DQ907" s="93"/>
      <c r="DR907" s="93"/>
      <c r="DS907" s="93"/>
      <c r="DT907" s="93"/>
      <c r="DU907" s="93"/>
      <c r="DV907" s="93"/>
      <c r="DW907" s="93"/>
      <c r="DX907" s="93"/>
      <c r="DY907" s="93"/>
      <c r="DZ907" s="93"/>
      <c r="EA907" s="93"/>
      <c r="EB907" s="93"/>
      <c r="EC907" s="93"/>
      <c r="ED907" s="93"/>
      <c r="EE907" s="93"/>
      <c r="EF907" s="93"/>
      <c r="EG907" s="93"/>
      <c r="EH907" s="93"/>
      <c r="EI907" s="93"/>
      <c r="EJ907" s="93"/>
      <c r="EK907" s="93"/>
      <c r="EL907" s="93"/>
      <c r="EM907" s="93"/>
      <c r="EN907" s="93"/>
      <c r="EO907" s="93"/>
      <c r="EP907" s="93"/>
      <c r="EQ907" s="93"/>
      <c r="ER907" s="93"/>
      <c r="ES907" s="93"/>
      <c r="ET907" s="93"/>
      <c r="EU907" s="93"/>
      <c r="EV907" s="93"/>
      <c r="EW907" s="93"/>
      <c r="EX907" s="93"/>
      <c r="EY907" s="93"/>
      <c r="EZ907" s="93"/>
      <c r="FA907" s="93"/>
      <c r="FB907" s="93"/>
      <c r="FC907" s="93"/>
      <c r="FD907" s="93"/>
      <c r="FE907" s="93"/>
      <c r="FF907" s="93"/>
    </row>
    <row r="908" spans="1:162" ht="15.75" customHeight="1">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c r="BS908" s="93"/>
      <c r="BT908" s="93"/>
      <c r="BU908" s="93"/>
      <c r="BV908" s="93"/>
      <c r="BW908" s="93"/>
      <c r="BX908" s="93"/>
      <c r="BY908" s="93"/>
      <c r="BZ908" s="93"/>
      <c r="CA908" s="93"/>
      <c r="CB908" s="93"/>
      <c r="CC908" s="93"/>
      <c r="CD908" s="93"/>
      <c r="CE908" s="93"/>
      <c r="CF908" s="93"/>
      <c r="CG908" s="93"/>
      <c r="CH908" s="93"/>
      <c r="CI908" s="93"/>
      <c r="CJ908" s="93"/>
      <c r="CK908" s="93"/>
      <c r="CL908" s="93"/>
      <c r="CM908" s="93"/>
      <c r="CN908" s="93"/>
      <c r="CO908" s="93"/>
      <c r="CP908" s="93"/>
      <c r="CQ908" s="93"/>
      <c r="CR908" s="93"/>
      <c r="CS908" s="93"/>
      <c r="CT908" s="93"/>
      <c r="CU908" s="93"/>
      <c r="CV908" s="93"/>
      <c r="CW908" s="93"/>
      <c r="CX908" s="93"/>
      <c r="CY908" s="93"/>
      <c r="CZ908" s="93"/>
      <c r="DA908" s="93"/>
      <c r="DB908" s="93"/>
      <c r="DC908" s="93"/>
      <c r="DD908" s="93"/>
      <c r="DE908" s="93"/>
      <c r="DF908" s="93"/>
      <c r="DG908" s="93"/>
      <c r="DH908" s="93"/>
      <c r="DI908" s="93"/>
      <c r="DJ908" s="93"/>
      <c r="DK908" s="93"/>
      <c r="DL908" s="93"/>
      <c r="DM908" s="93"/>
      <c r="DN908" s="93"/>
      <c r="DO908" s="93"/>
      <c r="DP908" s="93"/>
      <c r="DQ908" s="93"/>
      <c r="DR908" s="93"/>
      <c r="DS908" s="93"/>
      <c r="DT908" s="93"/>
      <c r="DU908" s="93"/>
      <c r="DV908" s="93"/>
      <c r="DW908" s="93"/>
      <c r="DX908" s="93"/>
      <c r="DY908" s="93"/>
      <c r="DZ908" s="93"/>
      <c r="EA908" s="93"/>
      <c r="EB908" s="93"/>
      <c r="EC908" s="93"/>
      <c r="ED908" s="93"/>
      <c r="EE908" s="93"/>
      <c r="EF908" s="93"/>
      <c r="EG908" s="93"/>
      <c r="EH908" s="93"/>
      <c r="EI908" s="93"/>
      <c r="EJ908" s="93"/>
      <c r="EK908" s="93"/>
      <c r="EL908" s="93"/>
      <c r="EM908" s="93"/>
      <c r="EN908" s="93"/>
      <c r="EO908" s="93"/>
      <c r="EP908" s="93"/>
      <c r="EQ908" s="93"/>
      <c r="ER908" s="93"/>
      <c r="ES908" s="93"/>
      <c r="ET908" s="93"/>
      <c r="EU908" s="93"/>
      <c r="EV908" s="93"/>
      <c r="EW908" s="93"/>
      <c r="EX908" s="93"/>
      <c r="EY908" s="93"/>
      <c r="EZ908" s="93"/>
      <c r="FA908" s="93"/>
      <c r="FB908" s="93"/>
      <c r="FC908" s="93"/>
      <c r="FD908" s="93"/>
      <c r="FE908" s="93"/>
      <c r="FF908" s="93"/>
    </row>
    <row r="909" spans="1:162" ht="15.75" customHeight="1">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Q909" s="93"/>
      <c r="BR909" s="93"/>
      <c r="BS909" s="93"/>
      <c r="BT909" s="93"/>
      <c r="BU909" s="93"/>
      <c r="BV909" s="93"/>
      <c r="BW909" s="93"/>
      <c r="BX909" s="93"/>
      <c r="BY909" s="93"/>
      <c r="BZ909" s="93"/>
      <c r="CA909" s="93"/>
      <c r="CB909" s="93"/>
      <c r="CC909" s="93"/>
      <c r="CD909" s="93"/>
      <c r="CE909" s="93"/>
      <c r="CF909" s="93"/>
      <c r="CG909" s="93"/>
      <c r="CH909" s="93"/>
      <c r="CI909" s="93"/>
      <c r="CJ909" s="93"/>
      <c r="CK909" s="93"/>
      <c r="CL909" s="93"/>
      <c r="CM909" s="93"/>
      <c r="CN909" s="93"/>
      <c r="CO909" s="93"/>
      <c r="CP909" s="93"/>
      <c r="CQ909" s="93"/>
      <c r="CR909" s="93"/>
      <c r="CS909" s="93"/>
      <c r="CT909" s="93"/>
      <c r="CU909" s="93"/>
      <c r="CV909" s="93"/>
      <c r="CW909" s="93"/>
      <c r="CX909" s="93"/>
      <c r="CY909" s="93"/>
      <c r="CZ909" s="93"/>
      <c r="DA909" s="93"/>
      <c r="DB909" s="93"/>
      <c r="DC909" s="93"/>
      <c r="DD909" s="93"/>
      <c r="DE909" s="93"/>
      <c r="DF909" s="93"/>
      <c r="DG909" s="93"/>
      <c r="DH909" s="93"/>
      <c r="DI909" s="93"/>
      <c r="DJ909" s="93"/>
      <c r="DK909" s="93"/>
      <c r="DL909" s="93"/>
      <c r="DM909" s="93"/>
      <c r="DN909" s="93"/>
      <c r="DO909" s="93"/>
      <c r="DP909" s="93"/>
      <c r="DQ909" s="93"/>
      <c r="DR909" s="93"/>
      <c r="DS909" s="93"/>
      <c r="DT909" s="93"/>
      <c r="DU909" s="93"/>
      <c r="DV909" s="93"/>
      <c r="DW909" s="93"/>
      <c r="DX909" s="93"/>
      <c r="DY909" s="93"/>
      <c r="DZ909" s="93"/>
      <c r="EA909" s="93"/>
      <c r="EB909" s="93"/>
      <c r="EC909" s="93"/>
      <c r="ED909" s="93"/>
      <c r="EE909" s="93"/>
      <c r="EF909" s="93"/>
      <c r="EG909" s="93"/>
      <c r="EH909" s="93"/>
      <c r="EI909" s="93"/>
      <c r="EJ909" s="93"/>
      <c r="EK909" s="93"/>
      <c r="EL909" s="93"/>
      <c r="EM909" s="93"/>
      <c r="EN909" s="93"/>
      <c r="EO909" s="93"/>
      <c r="EP909" s="93"/>
      <c r="EQ909" s="93"/>
      <c r="ER909" s="93"/>
      <c r="ES909" s="93"/>
      <c r="ET909" s="93"/>
      <c r="EU909" s="93"/>
      <c r="EV909" s="93"/>
      <c r="EW909" s="93"/>
      <c r="EX909" s="93"/>
      <c r="EY909" s="93"/>
      <c r="EZ909" s="93"/>
      <c r="FA909" s="93"/>
      <c r="FB909" s="93"/>
      <c r="FC909" s="93"/>
      <c r="FD909" s="93"/>
      <c r="FE909" s="93"/>
      <c r="FF909" s="93"/>
    </row>
    <row r="910" spans="1:162" ht="15.75" customHeight="1">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Q910" s="93"/>
      <c r="BR910" s="93"/>
      <c r="BS910" s="93"/>
      <c r="BT910" s="93"/>
      <c r="BU910" s="93"/>
      <c r="BV910" s="93"/>
      <c r="BW910" s="93"/>
      <c r="BX910" s="93"/>
      <c r="BY910" s="93"/>
      <c r="BZ910" s="93"/>
      <c r="CA910" s="93"/>
      <c r="CB910" s="93"/>
      <c r="CC910" s="93"/>
      <c r="CD910" s="93"/>
      <c r="CE910" s="93"/>
      <c r="CF910" s="93"/>
      <c r="CG910" s="93"/>
      <c r="CH910" s="93"/>
      <c r="CI910" s="93"/>
      <c r="CJ910" s="93"/>
      <c r="CK910" s="93"/>
      <c r="CL910" s="93"/>
      <c r="CM910" s="93"/>
      <c r="CN910" s="93"/>
      <c r="CO910" s="93"/>
      <c r="CP910" s="93"/>
      <c r="CQ910" s="93"/>
      <c r="CR910" s="93"/>
      <c r="CS910" s="93"/>
      <c r="CT910" s="93"/>
      <c r="CU910" s="93"/>
      <c r="CV910" s="93"/>
      <c r="CW910" s="93"/>
      <c r="CX910" s="93"/>
      <c r="CY910" s="93"/>
      <c r="CZ910" s="93"/>
      <c r="DA910" s="93"/>
      <c r="DB910" s="93"/>
      <c r="DC910" s="93"/>
      <c r="DD910" s="93"/>
      <c r="DE910" s="93"/>
      <c r="DF910" s="93"/>
      <c r="DG910" s="93"/>
      <c r="DH910" s="93"/>
      <c r="DI910" s="93"/>
      <c r="DJ910" s="93"/>
      <c r="DK910" s="93"/>
      <c r="DL910" s="93"/>
      <c r="DM910" s="93"/>
      <c r="DN910" s="93"/>
      <c r="DO910" s="93"/>
      <c r="DP910" s="93"/>
      <c r="DQ910" s="93"/>
      <c r="DR910" s="93"/>
      <c r="DS910" s="93"/>
      <c r="DT910" s="93"/>
      <c r="DU910" s="93"/>
      <c r="DV910" s="93"/>
      <c r="DW910" s="93"/>
      <c r="DX910" s="93"/>
      <c r="DY910" s="93"/>
      <c r="DZ910" s="93"/>
      <c r="EA910" s="93"/>
      <c r="EB910" s="93"/>
      <c r="EC910" s="93"/>
      <c r="ED910" s="93"/>
      <c r="EE910" s="93"/>
      <c r="EF910" s="93"/>
      <c r="EG910" s="93"/>
      <c r="EH910" s="93"/>
      <c r="EI910" s="93"/>
      <c r="EJ910" s="93"/>
      <c r="EK910" s="93"/>
      <c r="EL910" s="93"/>
      <c r="EM910" s="93"/>
      <c r="EN910" s="93"/>
      <c r="EO910" s="93"/>
      <c r="EP910" s="93"/>
      <c r="EQ910" s="93"/>
      <c r="ER910" s="93"/>
      <c r="ES910" s="93"/>
      <c r="ET910" s="93"/>
      <c r="EU910" s="93"/>
      <c r="EV910" s="93"/>
      <c r="EW910" s="93"/>
      <c r="EX910" s="93"/>
      <c r="EY910" s="93"/>
      <c r="EZ910" s="93"/>
      <c r="FA910" s="93"/>
      <c r="FB910" s="93"/>
      <c r="FC910" s="93"/>
      <c r="FD910" s="93"/>
      <c r="FE910" s="93"/>
      <c r="FF910" s="93"/>
    </row>
    <row r="911" spans="1:162" ht="15.75" customHeight="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c r="BS911" s="93"/>
      <c r="BT911" s="93"/>
      <c r="BU911" s="93"/>
      <c r="BV911" s="93"/>
      <c r="BW911" s="93"/>
      <c r="BX911" s="93"/>
      <c r="BY911" s="93"/>
      <c r="BZ911" s="93"/>
      <c r="CA911" s="93"/>
      <c r="CB911" s="93"/>
      <c r="CC911" s="93"/>
      <c r="CD911" s="93"/>
      <c r="CE911" s="93"/>
      <c r="CF911" s="93"/>
      <c r="CG911" s="93"/>
      <c r="CH911" s="93"/>
      <c r="CI911" s="93"/>
      <c r="CJ911" s="93"/>
      <c r="CK911" s="93"/>
      <c r="CL911" s="93"/>
      <c r="CM911" s="93"/>
      <c r="CN911" s="93"/>
      <c r="CO911" s="93"/>
      <c r="CP911" s="93"/>
      <c r="CQ911" s="93"/>
      <c r="CR911" s="93"/>
      <c r="CS911" s="93"/>
      <c r="CT911" s="93"/>
      <c r="CU911" s="93"/>
      <c r="CV911" s="93"/>
      <c r="CW911" s="93"/>
      <c r="CX911" s="93"/>
      <c r="CY911" s="93"/>
      <c r="CZ911" s="93"/>
      <c r="DA911" s="93"/>
      <c r="DB911" s="93"/>
      <c r="DC911" s="93"/>
      <c r="DD911" s="93"/>
      <c r="DE911" s="93"/>
      <c r="DF911" s="93"/>
      <c r="DG911" s="93"/>
      <c r="DH911" s="93"/>
      <c r="DI911" s="93"/>
      <c r="DJ911" s="93"/>
      <c r="DK911" s="93"/>
      <c r="DL911" s="93"/>
      <c r="DM911" s="93"/>
      <c r="DN911" s="93"/>
      <c r="DO911" s="93"/>
      <c r="DP911" s="93"/>
      <c r="DQ911" s="93"/>
      <c r="DR911" s="93"/>
      <c r="DS911" s="93"/>
      <c r="DT911" s="93"/>
      <c r="DU911" s="93"/>
      <c r="DV911" s="93"/>
      <c r="DW911" s="93"/>
      <c r="DX911" s="93"/>
      <c r="DY911" s="93"/>
      <c r="DZ911" s="93"/>
      <c r="EA911" s="93"/>
      <c r="EB911" s="93"/>
      <c r="EC911" s="93"/>
      <c r="ED911" s="93"/>
      <c r="EE911" s="93"/>
      <c r="EF911" s="93"/>
      <c r="EG911" s="93"/>
      <c r="EH911" s="93"/>
      <c r="EI911" s="93"/>
      <c r="EJ911" s="93"/>
      <c r="EK911" s="93"/>
      <c r="EL911" s="93"/>
      <c r="EM911" s="93"/>
      <c r="EN911" s="93"/>
      <c r="EO911" s="93"/>
      <c r="EP911" s="93"/>
      <c r="EQ911" s="93"/>
      <c r="ER911" s="93"/>
      <c r="ES911" s="93"/>
      <c r="ET911" s="93"/>
      <c r="EU911" s="93"/>
      <c r="EV911" s="93"/>
      <c r="EW911" s="93"/>
      <c r="EX911" s="93"/>
      <c r="EY911" s="93"/>
      <c r="EZ911" s="93"/>
      <c r="FA911" s="93"/>
      <c r="FB911" s="93"/>
      <c r="FC911" s="93"/>
      <c r="FD911" s="93"/>
      <c r="FE911" s="93"/>
      <c r="FF911" s="93"/>
    </row>
    <row r="912" spans="1:162" ht="15.75" customHeight="1">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c r="CC912" s="93"/>
      <c r="CD912" s="93"/>
      <c r="CE912" s="93"/>
      <c r="CF912" s="93"/>
      <c r="CG912" s="93"/>
      <c r="CH912" s="93"/>
      <c r="CI912" s="93"/>
      <c r="CJ912" s="93"/>
      <c r="CK912" s="93"/>
      <c r="CL912" s="93"/>
      <c r="CM912" s="93"/>
      <c r="CN912" s="93"/>
      <c r="CO912" s="93"/>
      <c r="CP912" s="93"/>
      <c r="CQ912" s="93"/>
      <c r="CR912" s="93"/>
      <c r="CS912" s="93"/>
      <c r="CT912" s="93"/>
      <c r="CU912" s="93"/>
      <c r="CV912" s="93"/>
      <c r="CW912" s="93"/>
      <c r="CX912" s="93"/>
      <c r="CY912" s="93"/>
      <c r="CZ912" s="93"/>
      <c r="DA912" s="93"/>
      <c r="DB912" s="93"/>
      <c r="DC912" s="93"/>
      <c r="DD912" s="93"/>
      <c r="DE912" s="93"/>
      <c r="DF912" s="93"/>
      <c r="DG912" s="93"/>
      <c r="DH912" s="93"/>
      <c r="DI912" s="93"/>
      <c r="DJ912" s="93"/>
      <c r="DK912" s="93"/>
      <c r="DL912" s="93"/>
      <c r="DM912" s="93"/>
      <c r="DN912" s="93"/>
      <c r="DO912" s="93"/>
      <c r="DP912" s="93"/>
      <c r="DQ912" s="93"/>
      <c r="DR912" s="93"/>
      <c r="DS912" s="93"/>
      <c r="DT912" s="93"/>
      <c r="DU912" s="93"/>
      <c r="DV912" s="93"/>
      <c r="DW912" s="93"/>
      <c r="DX912" s="93"/>
      <c r="DY912" s="93"/>
      <c r="DZ912" s="93"/>
      <c r="EA912" s="93"/>
      <c r="EB912" s="93"/>
      <c r="EC912" s="93"/>
      <c r="ED912" s="93"/>
      <c r="EE912" s="93"/>
      <c r="EF912" s="93"/>
      <c r="EG912" s="93"/>
      <c r="EH912" s="93"/>
      <c r="EI912" s="93"/>
      <c r="EJ912" s="93"/>
      <c r="EK912" s="93"/>
      <c r="EL912" s="93"/>
      <c r="EM912" s="93"/>
      <c r="EN912" s="93"/>
      <c r="EO912" s="93"/>
      <c r="EP912" s="93"/>
      <c r="EQ912" s="93"/>
      <c r="ER912" s="93"/>
      <c r="ES912" s="93"/>
      <c r="ET912" s="93"/>
      <c r="EU912" s="93"/>
      <c r="EV912" s="93"/>
      <c r="EW912" s="93"/>
      <c r="EX912" s="93"/>
      <c r="EY912" s="93"/>
      <c r="EZ912" s="93"/>
      <c r="FA912" s="93"/>
      <c r="FB912" s="93"/>
      <c r="FC912" s="93"/>
      <c r="FD912" s="93"/>
      <c r="FE912" s="93"/>
      <c r="FF912" s="93"/>
    </row>
    <row r="913" spans="1:162" ht="15.75" customHeight="1">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93"/>
      <c r="DV913" s="93"/>
      <c r="DW913" s="93"/>
      <c r="DX913" s="93"/>
      <c r="DY913" s="93"/>
      <c r="DZ913" s="93"/>
      <c r="EA913" s="93"/>
      <c r="EB913" s="93"/>
      <c r="EC913" s="93"/>
      <c r="ED913" s="93"/>
      <c r="EE913" s="93"/>
      <c r="EF913" s="93"/>
      <c r="EG913" s="93"/>
      <c r="EH913" s="93"/>
      <c r="EI913" s="93"/>
      <c r="EJ913" s="93"/>
      <c r="EK913" s="93"/>
      <c r="EL913" s="93"/>
      <c r="EM913" s="93"/>
      <c r="EN913" s="93"/>
      <c r="EO913" s="93"/>
      <c r="EP913" s="93"/>
      <c r="EQ913" s="93"/>
      <c r="ER913" s="93"/>
      <c r="ES913" s="93"/>
      <c r="ET913" s="93"/>
      <c r="EU913" s="93"/>
      <c r="EV913" s="93"/>
      <c r="EW913" s="93"/>
      <c r="EX913" s="93"/>
      <c r="EY913" s="93"/>
      <c r="EZ913" s="93"/>
      <c r="FA913" s="93"/>
      <c r="FB913" s="93"/>
      <c r="FC913" s="93"/>
      <c r="FD913" s="93"/>
      <c r="FE913" s="93"/>
      <c r="FF913" s="93"/>
    </row>
    <row r="914" spans="1:162" ht="15.75" customHeight="1">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Q914" s="93"/>
      <c r="BR914" s="93"/>
      <c r="BS914" s="93"/>
      <c r="BT914" s="93"/>
      <c r="BU914" s="93"/>
      <c r="BV914" s="93"/>
      <c r="BW914" s="93"/>
      <c r="BX914" s="93"/>
      <c r="BY914" s="93"/>
      <c r="BZ914" s="93"/>
      <c r="CA914" s="93"/>
      <c r="CB914" s="93"/>
      <c r="CC914" s="93"/>
      <c r="CD914" s="93"/>
      <c r="CE914" s="93"/>
      <c r="CF914" s="93"/>
      <c r="CG914" s="93"/>
      <c r="CH914" s="93"/>
      <c r="CI914" s="93"/>
      <c r="CJ914" s="93"/>
      <c r="CK914" s="93"/>
      <c r="CL914" s="93"/>
      <c r="CM914" s="93"/>
      <c r="CN914" s="93"/>
      <c r="CO914" s="93"/>
      <c r="CP914" s="93"/>
      <c r="CQ914" s="93"/>
      <c r="CR914" s="93"/>
      <c r="CS914" s="93"/>
      <c r="CT914" s="93"/>
      <c r="CU914" s="93"/>
      <c r="CV914" s="93"/>
      <c r="CW914" s="93"/>
      <c r="CX914" s="93"/>
      <c r="CY914" s="93"/>
      <c r="CZ914" s="93"/>
      <c r="DA914" s="93"/>
      <c r="DB914" s="93"/>
      <c r="DC914" s="93"/>
      <c r="DD914" s="93"/>
      <c r="DE914" s="93"/>
      <c r="DF914" s="93"/>
      <c r="DG914" s="93"/>
      <c r="DH914" s="93"/>
      <c r="DI914" s="93"/>
      <c r="DJ914" s="93"/>
      <c r="DK914" s="93"/>
      <c r="DL914" s="93"/>
      <c r="DM914" s="93"/>
      <c r="DN914" s="93"/>
      <c r="DO914" s="93"/>
      <c r="DP914" s="93"/>
      <c r="DQ914" s="93"/>
      <c r="DR914" s="93"/>
      <c r="DS914" s="93"/>
      <c r="DT914" s="93"/>
      <c r="DU914" s="93"/>
      <c r="DV914" s="93"/>
      <c r="DW914" s="93"/>
      <c r="DX914" s="93"/>
      <c r="DY914" s="93"/>
      <c r="DZ914" s="93"/>
      <c r="EA914" s="93"/>
      <c r="EB914" s="93"/>
      <c r="EC914" s="93"/>
      <c r="ED914" s="93"/>
      <c r="EE914" s="93"/>
      <c r="EF914" s="93"/>
      <c r="EG914" s="93"/>
      <c r="EH914" s="93"/>
      <c r="EI914" s="93"/>
      <c r="EJ914" s="93"/>
      <c r="EK914" s="93"/>
      <c r="EL914" s="93"/>
      <c r="EM914" s="93"/>
      <c r="EN914" s="93"/>
      <c r="EO914" s="93"/>
      <c r="EP914" s="93"/>
      <c r="EQ914" s="93"/>
      <c r="ER914" s="93"/>
      <c r="ES914" s="93"/>
      <c r="ET914" s="93"/>
      <c r="EU914" s="93"/>
      <c r="EV914" s="93"/>
      <c r="EW914" s="93"/>
      <c r="EX914" s="93"/>
      <c r="EY914" s="93"/>
      <c r="EZ914" s="93"/>
      <c r="FA914" s="93"/>
      <c r="FB914" s="93"/>
      <c r="FC914" s="93"/>
      <c r="FD914" s="93"/>
      <c r="FE914" s="93"/>
      <c r="FF914" s="93"/>
    </row>
    <row r="915" spans="1:162" ht="15.75" customHeight="1">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c r="BS915" s="93"/>
      <c r="BT915" s="93"/>
      <c r="BU915" s="93"/>
      <c r="BV915" s="93"/>
      <c r="BW915" s="93"/>
      <c r="BX915" s="93"/>
      <c r="BY915" s="93"/>
      <c r="BZ915" s="93"/>
      <c r="CA915" s="93"/>
      <c r="CB915" s="93"/>
      <c r="CC915" s="93"/>
      <c r="CD915" s="93"/>
      <c r="CE915" s="93"/>
      <c r="CF915" s="93"/>
      <c r="CG915" s="93"/>
      <c r="CH915" s="93"/>
      <c r="CI915" s="93"/>
      <c r="CJ915" s="93"/>
      <c r="CK915" s="93"/>
      <c r="CL915" s="93"/>
      <c r="CM915" s="93"/>
      <c r="CN915" s="93"/>
      <c r="CO915" s="93"/>
      <c r="CP915" s="93"/>
      <c r="CQ915" s="93"/>
      <c r="CR915" s="93"/>
      <c r="CS915" s="93"/>
      <c r="CT915" s="93"/>
      <c r="CU915" s="93"/>
      <c r="CV915" s="93"/>
      <c r="CW915" s="93"/>
      <c r="CX915" s="93"/>
      <c r="CY915" s="93"/>
      <c r="CZ915" s="93"/>
      <c r="DA915" s="93"/>
      <c r="DB915" s="93"/>
      <c r="DC915" s="93"/>
      <c r="DD915" s="93"/>
      <c r="DE915" s="93"/>
      <c r="DF915" s="93"/>
      <c r="DG915" s="93"/>
      <c r="DH915" s="93"/>
      <c r="DI915" s="93"/>
      <c r="DJ915" s="93"/>
      <c r="DK915" s="93"/>
      <c r="DL915" s="93"/>
      <c r="DM915" s="93"/>
      <c r="DN915" s="93"/>
      <c r="DO915" s="93"/>
      <c r="DP915" s="93"/>
      <c r="DQ915" s="93"/>
      <c r="DR915" s="93"/>
      <c r="DS915" s="93"/>
      <c r="DT915" s="93"/>
      <c r="DU915" s="93"/>
      <c r="DV915" s="93"/>
      <c r="DW915" s="93"/>
      <c r="DX915" s="93"/>
      <c r="DY915" s="93"/>
      <c r="DZ915" s="93"/>
      <c r="EA915" s="93"/>
      <c r="EB915" s="93"/>
      <c r="EC915" s="93"/>
      <c r="ED915" s="93"/>
      <c r="EE915" s="93"/>
      <c r="EF915" s="93"/>
      <c r="EG915" s="93"/>
      <c r="EH915" s="93"/>
      <c r="EI915" s="93"/>
      <c r="EJ915" s="93"/>
      <c r="EK915" s="93"/>
      <c r="EL915" s="93"/>
      <c r="EM915" s="93"/>
      <c r="EN915" s="93"/>
      <c r="EO915" s="93"/>
      <c r="EP915" s="93"/>
      <c r="EQ915" s="93"/>
      <c r="ER915" s="93"/>
      <c r="ES915" s="93"/>
      <c r="ET915" s="93"/>
      <c r="EU915" s="93"/>
      <c r="EV915" s="93"/>
      <c r="EW915" s="93"/>
      <c r="EX915" s="93"/>
      <c r="EY915" s="93"/>
      <c r="EZ915" s="93"/>
      <c r="FA915" s="93"/>
      <c r="FB915" s="93"/>
      <c r="FC915" s="93"/>
      <c r="FD915" s="93"/>
      <c r="FE915" s="93"/>
      <c r="FF915" s="93"/>
    </row>
    <row r="916" spans="1:162" ht="15.75" customHeight="1">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c r="BS916" s="93"/>
      <c r="BT916" s="93"/>
      <c r="BU916" s="93"/>
      <c r="BV916" s="93"/>
      <c r="BW916" s="93"/>
      <c r="BX916" s="93"/>
      <c r="BY916" s="93"/>
      <c r="BZ916" s="93"/>
      <c r="CA916" s="93"/>
      <c r="CB916" s="93"/>
      <c r="CC916" s="93"/>
      <c r="CD916" s="93"/>
      <c r="CE916" s="93"/>
      <c r="CF916" s="93"/>
      <c r="CG916" s="93"/>
      <c r="CH916" s="93"/>
      <c r="CI916" s="93"/>
      <c r="CJ916" s="93"/>
      <c r="CK916" s="93"/>
      <c r="CL916" s="93"/>
      <c r="CM916" s="93"/>
      <c r="CN916" s="93"/>
      <c r="CO916" s="93"/>
      <c r="CP916" s="93"/>
      <c r="CQ916" s="93"/>
      <c r="CR916" s="93"/>
      <c r="CS916" s="93"/>
      <c r="CT916" s="93"/>
      <c r="CU916" s="93"/>
      <c r="CV916" s="93"/>
      <c r="CW916" s="93"/>
      <c r="CX916" s="93"/>
      <c r="CY916" s="93"/>
      <c r="CZ916" s="93"/>
      <c r="DA916" s="93"/>
      <c r="DB916" s="93"/>
      <c r="DC916" s="93"/>
      <c r="DD916" s="93"/>
      <c r="DE916" s="93"/>
      <c r="DF916" s="93"/>
      <c r="DG916" s="93"/>
      <c r="DH916" s="93"/>
      <c r="DI916" s="93"/>
      <c r="DJ916" s="93"/>
      <c r="DK916" s="93"/>
      <c r="DL916" s="93"/>
      <c r="DM916" s="93"/>
      <c r="DN916" s="93"/>
      <c r="DO916" s="93"/>
      <c r="DP916" s="93"/>
      <c r="DQ916" s="93"/>
      <c r="DR916" s="93"/>
      <c r="DS916" s="93"/>
      <c r="DT916" s="93"/>
      <c r="DU916" s="93"/>
      <c r="DV916" s="93"/>
      <c r="DW916" s="93"/>
      <c r="DX916" s="93"/>
      <c r="DY916" s="93"/>
      <c r="DZ916" s="93"/>
      <c r="EA916" s="93"/>
      <c r="EB916" s="93"/>
      <c r="EC916" s="93"/>
      <c r="ED916" s="93"/>
      <c r="EE916" s="93"/>
      <c r="EF916" s="93"/>
      <c r="EG916" s="93"/>
      <c r="EH916" s="93"/>
      <c r="EI916" s="93"/>
      <c r="EJ916" s="93"/>
      <c r="EK916" s="93"/>
      <c r="EL916" s="93"/>
      <c r="EM916" s="93"/>
      <c r="EN916" s="93"/>
      <c r="EO916" s="93"/>
      <c r="EP916" s="93"/>
      <c r="EQ916" s="93"/>
      <c r="ER916" s="93"/>
      <c r="ES916" s="93"/>
      <c r="ET916" s="93"/>
      <c r="EU916" s="93"/>
      <c r="EV916" s="93"/>
      <c r="EW916" s="93"/>
      <c r="EX916" s="93"/>
      <c r="EY916" s="93"/>
      <c r="EZ916" s="93"/>
      <c r="FA916" s="93"/>
      <c r="FB916" s="93"/>
      <c r="FC916" s="93"/>
      <c r="FD916" s="93"/>
      <c r="FE916" s="93"/>
      <c r="FF916" s="93"/>
    </row>
    <row r="917" spans="1:162" ht="15.75" customHeight="1">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c r="BG917" s="93"/>
      <c r="BH917" s="93"/>
      <c r="BI917" s="93"/>
      <c r="BJ917" s="93"/>
      <c r="BK917" s="93"/>
      <c r="BL917" s="93"/>
      <c r="BM917" s="93"/>
      <c r="BN917" s="93"/>
      <c r="BO917" s="93"/>
      <c r="BP917" s="93"/>
      <c r="BQ917" s="93"/>
      <c r="BR917" s="93"/>
      <c r="BS917" s="93"/>
      <c r="BT917" s="93"/>
      <c r="BU917" s="93"/>
      <c r="BV917" s="93"/>
      <c r="BW917" s="93"/>
      <c r="BX917" s="93"/>
      <c r="BY917" s="93"/>
      <c r="BZ917" s="93"/>
      <c r="CA917" s="93"/>
      <c r="CB917" s="93"/>
      <c r="CC917" s="93"/>
      <c r="CD917" s="93"/>
      <c r="CE917" s="93"/>
      <c r="CF917" s="93"/>
      <c r="CG917" s="93"/>
      <c r="CH917" s="93"/>
      <c r="CI917" s="93"/>
      <c r="CJ917" s="93"/>
      <c r="CK917" s="93"/>
      <c r="CL917" s="93"/>
      <c r="CM917" s="93"/>
      <c r="CN917" s="93"/>
      <c r="CO917" s="93"/>
      <c r="CP917" s="93"/>
      <c r="CQ917" s="93"/>
      <c r="CR917" s="93"/>
      <c r="CS917" s="93"/>
      <c r="CT917" s="93"/>
      <c r="CU917" s="93"/>
      <c r="CV917" s="93"/>
      <c r="CW917" s="93"/>
      <c r="CX917" s="93"/>
      <c r="CY917" s="93"/>
      <c r="CZ917" s="93"/>
      <c r="DA917" s="93"/>
      <c r="DB917" s="93"/>
      <c r="DC917" s="93"/>
      <c r="DD917" s="93"/>
      <c r="DE917" s="93"/>
      <c r="DF917" s="93"/>
      <c r="DG917" s="93"/>
      <c r="DH917" s="93"/>
      <c r="DI917" s="93"/>
      <c r="DJ917" s="93"/>
      <c r="DK917" s="93"/>
      <c r="DL917" s="93"/>
      <c r="DM917" s="93"/>
      <c r="DN917" s="93"/>
      <c r="DO917" s="93"/>
      <c r="DP917" s="93"/>
      <c r="DQ917" s="93"/>
      <c r="DR917" s="93"/>
      <c r="DS917" s="93"/>
      <c r="DT917" s="93"/>
      <c r="DU917" s="93"/>
      <c r="DV917" s="93"/>
      <c r="DW917" s="93"/>
      <c r="DX917" s="93"/>
      <c r="DY917" s="93"/>
      <c r="DZ917" s="93"/>
      <c r="EA917" s="93"/>
      <c r="EB917" s="93"/>
      <c r="EC917" s="93"/>
      <c r="ED917" s="93"/>
      <c r="EE917" s="93"/>
      <c r="EF917" s="93"/>
      <c r="EG917" s="93"/>
      <c r="EH917" s="93"/>
      <c r="EI917" s="93"/>
      <c r="EJ917" s="93"/>
      <c r="EK917" s="93"/>
      <c r="EL917" s="93"/>
      <c r="EM917" s="93"/>
      <c r="EN917" s="93"/>
      <c r="EO917" s="93"/>
      <c r="EP917" s="93"/>
      <c r="EQ917" s="93"/>
      <c r="ER917" s="93"/>
      <c r="ES917" s="93"/>
      <c r="ET917" s="93"/>
      <c r="EU917" s="93"/>
      <c r="EV917" s="93"/>
      <c r="EW917" s="93"/>
      <c r="EX917" s="93"/>
      <c r="EY917" s="93"/>
      <c r="EZ917" s="93"/>
      <c r="FA917" s="93"/>
      <c r="FB917" s="93"/>
      <c r="FC917" s="93"/>
      <c r="FD917" s="93"/>
      <c r="FE917" s="93"/>
      <c r="FF917" s="93"/>
    </row>
    <row r="918" spans="1:162" ht="15.75" customHeight="1">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c r="BS918" s="93"/>
      <c r="BT918" s="93"/>
      <c r="BU918" s="93"/>
      <c r="BV918" s="93"/>
      <c r="BW918" s="93"/>
      <c r="BX918" s="93"/>
      <c r="BY918" s="93"/>
      <c r="BZ918" s="93"/>
      <c r="CA918" s="93"/>
      <c r="CB918" s="93"/>
      <c r="CC918" s="93"/>
      <c r="CD918" s="93"/>
      <c r="CE918" s="93"/>
      <c r="CF918" s="93"/>
      <c r="CG918" s="93"/>
      <c r="CH918" s="93"/>
      <c r="CI918" s="93"/>
      <c r="CJ918" s="93"/>
      <c r="CK918" s="93"/>
      <c r="CL918" s="93"/>
      <c r="CM918" s="93"/>
      <c r="CN918" s="93"/>
      <c r="CO918" s="93"/>
      <c r="CP918" s="93"/>
      <c r="CQ918" s="93"/>
      <c r="CR918" s="93"/>
      <c r="CS918" s="93"/>
      <c r="CT918" s="93"/>
      <c r="CU918" s="93"/>
      <c r="CV918" s="93"/>
      <c r="CW918" s="93"/>
      <c r="CX918" s="93"/>
      <c r="CY918" s="93"/>
      <c r="CZ918" s="93"/>
      <c r="DA918" s="93"/>
      <c r="DB918" s="93"/>
      <c r="DC918" s="93"/>
      <c r="DD918" s="93"/>
      <c r="DE918" s="93"/>
      <c r="DF918" s="93"/>
      <c r="DG918" s="93"/>
      <c r="DH918" s="93"/>
      <c r="DI918" s="93"/>
      <c r="DJ918" s="93"/>
      <c r="DK918" s="93"/>
      <c r="DL918" s="93"/>
      <c r="DM918" s="93"/>
      <c r="DN918" s="93"/>
      <c r="DO918" s="93"/>
      <c r="DP918" s="93"/>
      <c r="DQ918" s="93"/>
      <c r="DR918" s="93"/>
      <c r="DS918" s="93"/>
      <c r="DT918" s="93"/>
      <c r="DU918" s="93"/>
      <c r="DV918" s="93"/>
      <c r="DW918" s="93"/>
      <c r="DX918" s="93"/>
      <c r="DY918" s="93"/>
      <c r="DZ918" s="93"/>
      <c r="EA918" s="93"/>
      <c r="EB918" s="93"/>
      <c r="EC918" s="93"/>
      <c r="ED918" s="93"/>
      <c r="EE918" s="93"/>
      <c r="EF918" s="93"/>
      <c r="EG918" s="93"/>
      <c r="EH918" s="93"/>
      <c r="EI918" s="93"/>
      <c r="EJ918" s="93"/>
      <c r="EK918" s="93"/>
      <c r="EL918" s="93"/>
      <c r="EM918" s="93"/>
      <c r="EN918" s="93"/>
      <c r="EO918" s="93"/>
      <c r="EP918" s="93"/>
      <c r="EQ918" s="93"/>
      <c r="ER918" s="93"/>
      <c r="ES918" s="93"/>
      <c r="ET918" s="93"/>
      <c r="EU918" s="93"/>
      <c r="EV918" s="93"/>
      <c r="EW918" s="93"/>
      <c r="EX918" s="93"/>
      <c r="EY918" s="93"/>
      <c r="EZ918" s="93"/>
      <c r="FA918" s="93"/>
      <c r="FB918" s="93"/>
      <c r="FC918" s="93"/>
      <c r="FD918" s="93"/>
      <c r="FE918" s="93"/>
      <c r="FF918" s="93"/>
    </row>
    <row r="919" spans="1:162" ht="15.75" customHeight="1">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3"/>
      <c r="BU919" s="93"/>
      <c r="BV919" s="93"/>
      <c r="BW919" s="93"/>
      <c r="BX919" s="93"/>
      <c r="BY919" s="93"/>
      <c r="BZ919" s="93"/>
      <c r="CA919" s="93"/>
      <c r="CB919" s="93"/>
      <c r="CC919" s="93"/>
      <c r="CD919" s="93"/>
      <c r="CE919" s="93"/>
      <c r="CF919" s="93"/>
      <c r="CG919" s="93"/>
      <c r="CH919" s="93"/>
      <c r="CI919" s="93"/>
      <c r="CJ919" s="93"/>
      <c r="CK919" s="93"/>
      <c r="CL919" s="93"/>
      <c r="CM919" s="93"/>
      <c r="CN919" s="93"/>
      <c r="CO919" s="93"/>
      <c r="CP919" s="93"/>
      <c r="CQ919" s="93"/>
      <c r="CR919" s="93"/>
      <c r="CS919" s="93"/>
      <c r="CT919" s="93"/>
      <c r="CU919" s="93"/>
      <c r="CV919" s="93"/>
      <c r="CW919" s="93"/>
      <c r="CX919" s="93"/>
      <c r="CY919" s="93"/>
      <c r="CZ919" s="93"/>
      <c r="DA919" s="93"/>
      <c r="DB919" s="93"/>
      <c r="DC919" s="93"/>
      <c r="DD919" s="93"/>
      <c r="DE919" s="93"/>
      <c r="DF919" s="93"/>
      <c r="DG919" s="93"/>
      <c r="DH919" s="93"/>
      <c r="DI919" s="93"/>
      <c r="DJ919" s="93"/>
      <c r="DK919" s="93"/>
      <c r="DL919" s="93"/>
      <c r="DM919" s="93"/>
      <c r="DN919" s="93"/>
      <c r="DO919" s="93"/>
      <c r="DP919" s="93"/>
      <c r="DQ919" s="93"/>
      <c r="DR919" s="93"/>
      <c r="DS919" s="93"/>
      <c r="DT919" s="93"/>
      <c r="DU919" s="93"/>
      <c r="DV919" s="93"/>
      <c r="DW919" s="93"/>
      <c r="DX919" s="93"/>
      <c r="DY919" s="93"/>
      <c r="DZ919" s="93"/>
      <c r="EA919" s="93"/>
      <c r="EB919" s="93"/>
      <c r="EC919" s="93"/>
      <c r="ED919" s="93"/>
      <c r="EE919" s="93"/>
      <c r="EF919" s="93"/>
      <c r="EG919" s="93"/>
      <c r="EH919" s="93"/>
      <c r="EI919" s="93"/>
      <c r="EJ919" s="93"/>
      <c r="EK919" s="93"/>
      <c r="EL919" s="93"/>
      <c r="EM919" s="93"/>
      <c r="EN919" s="93"/>
      <c r="EO919" s="93"/>
      <c r="EP919" s="93"/>
      <c r="EQ919" s="93"/>
      <c r="ER919" s="93"/>
      <c r="ES919" s="93"/>
      <c r="ET919" s="93"/>
      <c r="EU919" s="93"/>
      <c r="EV919" s="93"/>
      <c r="EW919" s="93"/>
      <c r="EX919" s="93"/>
      <c r="EY919" s="93"/>
      <c r="EZ919" s="93"/>
      <c r="FA919" s="93"/>
      <c r="FB919" s="93"/>
      <c r="FC919" s="93"/>
      <c r="FD919" s="93"/>
      <c r="FE919" s="93"/>
      <c r="FF919" s="93"/>
    </row>
    <row r="920" spans="1:162" ht="15.75" customHeight="1">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c r="BG920" s="93"/>
      <c r="BH920" s="93"/>
      <c r="BI920" s="93"/>
      <c r="BJ920" s="93"/>
      <c r="BK920" s="93"/>
      <c r="BL920" s="93"/>
      <c r="BM920" s="93"/>
      <c r="BN920" s="93"/>
      <c r="BO920" s="93"/>
      <c r="BP920" s="93"/>
      <c r="BQ920" s="93"/>
      <c r="BR920" s="93"/>
      <c r="BS920" s="93"/>
      <c r="BT920" s="93"/>
      <c r="BU920" s="93"/>
      <c r="BV920" s="93"/>
      <c r="BW920" s="93"/>
      <c r="BX920" s="93"/>
      <c r="BY920" s="93"/>
      <c r="BZ920" s="93"/>
      <c r="CA920" s="93"/>
      <c r="CB920" s="93"/>
      <c r="CC920" s="93"/>
      <c r="CD920" s="93"/>
      <c r="CE920" s="93"/>
      <c r="CF920" s="93"/>
      <c r="CG920" s="93"/>
      <c r="CH920" s="93"/>
      <c r="CI920" s="93"/>
      <c r="CJ920" s="93"/>
      <c r="CK920" s="93"/>
      <c r="CL920" s="93"/>
      <c r="CM920" s="93"/>
      <c r="CN920" s="93"/>
      <c r="CO920" s="93"/>
      <c r="CP920" s="93"/>
      <c r="CQ920" s="93"/>
      <c r="CR920" s="93"/>
      <c r="CS920" s="93"/>
      <c r="CT920" s="93"/>
      <c r="CU920" s="93"/>
      <c r="CV920" s="93"/>
      <c r="CW920" s="93"/>
      <c r="CX920" s="93"/>
      <c r="CY920" s="93"/>
      <c r="CZ920" s="93"/>
      <c r="DA920" s="93"/>
      <c r="DB920" s="93"/>
      <c r="DC920" s="93"/>
      <c r="DD920" s="93"/>
      <c r="DE920" s="93"/>
      <c r="DF920" s="93"/>
      <c r="DG920" s="93"/>
      <c r="DH920" s="93"/>
      <c r="DI920" s="93"/>
      <c r="DJ920" s="93"/>
      <c r="DK920" s="93"/>
      <c r="DL920" s="93"/>
      <c r="DM920" s="93"/>
      <c r="DN920" s="93"/>
      <c r="DO920" s="93"/>
      <c r="DP920" s="93"/>
      <c r="DQ920" s="93"/>
      <c r="DR920" s="93"/>
      <c r="DS920" s="93"/>
      <c r="DT920" s="93"/>
      <c r="DU920" s="93"/>
      <c r="DV920" s="93"/>
      <c r="DW920" s="93"/>
      <c r="DX920" s="93"/>
      <c r="DY920" s="93"/>
      <c r="DZ920" s="93"/>
      <c r="EA920" s="93"/>
      <c r="EB920" s="93"/>
      <c r="EC920" s="93"/>
      <c r="ED920" s="93"/>
      <c r="EE920" s="93"/>
      <c r="EF920" s="93"/>
      <c r="EG920" s="93"/>
      <c r="EH920" s="93"/>
      <c r="EI920" s="93"/>
      <c r="EJ920" s="93"/>
      <c r="EK920" s="93"/>
      <c r="EL920" s="93"/>
      <c r="EM920" s="93"/>
      <c r="EN920" s="93"/>
      <c r="EO920" s="93"/>
      <c r="EP920" s="93"/>
      <c r="EQ920" s="93"/>
      <c r="ER920" s="93"/>
      <c r="ES920" s="93"/>
      <c r="ET920" s="93"/>
      <c r="EU920" s="93"/>
      <c r="EV920" s="93"/>
      <c r="EW920" s="93"/>
      <c r="EX920" s="93"/>
      <c r="EY920" s="93"/>
      <c r="EZ920" s="93"/>
      <c r="FA920" s="93"/>
      <c r="FB920" s="93"/>
      <c r="FC920" s="93"/>
      <c r="FD920" s="93"/>
      <c r="FE920" s="93"/>
      <c r="FF920" s="93"/>
    </row>
    <row r="921" spans="1:162" ht="15.75" customHeight="1">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c r="BG921" s="93"/>
      <c r="BH921" s="93"/>
      <c r="BI921" s="93"/>
      <c r="BJ921" s="93"/>
      <c r="BK921" s="93"/>
      <c r="BL921" s="93"/>
      <c r="BM921" s="93"/>
      <c r="BN921" s="93"/>
      <c r="BO921" s="93"/>
      <c r="BP921" s="93"/>
      <c r="BQ921" s="93"/>
      <c r="BR921" s="93"/>
      <c r="BS921" s="93"/>
      <c r="BT921" s="93"/>
      <c r="BU921" s="93"/>
      <c r="BV921" s="93"/>
      <c r="BW921" s="93"/>
      <c r="BX921" s="93"/>
      <c r="BY921" s="93"/>
      <c r="BZ921" s="93"/>
      <c r="CA921" s="93"/>
      <c r="CB921" s="93"/>
      <c r="CC921" s="93"/>
      <c r="CD921" s="93"/>
      <c r="CE921" s="93"/>
      <c r="CF921" s="93"/>
      <c r="CG921" s="93"/>
      <c r="CH921" s="93"/>
      <c r="CI921" s="93"/>
      <c r="CJ921" s="93"/>
      <c r="CK921" s="93"/>
      <c r="CL921" s="93"/>
      <c r="CM921" s="93"/>
      <c r="CN921" s="93"/>
      <c r="CO921" s="93"/>
      <c r="CP921" s="93"/>
      <c r="CQ921" s="93"/>
      <c r="CR921" s="93"/>
      <c r="CS921" s="93"/>
      <c r="CT921" s="93"/>
      <c r="CU921" s="93"/>
      <c r="CV921" s="93"/>
      <c r="CW921" s="93"/>
      <c r="CX921" s="93"/>
      <c r="CY921" s="93"/>
      <c r="CZ921" s="93"/>
      <c r="DA921" s="93"/>
      <c r="DB921" s="93"/>
      <c r="DC921" s="93"/>
      <c r="DD921" s="93"/>
      <c r="DE921" s="93"/>
      <c r="DF921" s="93"/>
      <c r="DG921" s="93"/>
      <c r="DH921" s="93"/>
      <c r="DI921" s="93"/>
      <c r="DJ921" s="93"/>
      <c r="DK921" s="93"/>
      <c r="DL921" s="93"/>
      <c r="DM921" s="93"/>
      <c r="DN921" s="93"/>
      <c r="DO921" s="93"/>
      <c r="DP921" s="93"/>
      <c r="DQ921" s="93"/>
      <c r="DR921" s="93"/>
      <c r="DS921" s="93"/>
      <c r="DT921" s="93"/>
      <c r="DU921" s="93"/>
      <c r="DV921" s="93"/>
      <c r="DW921" s="93"/>
      <c r="DX921" s="93"/>
      <c r="DY921" s="93"/>
      <c r="DZ921" s="93"/>
      <c r="EA921" s="93"/>
      <c r="EB921" s="93"/>
      <c r="EC921" s="93"/>
      <c r="ED921" s="93"/>
      <c r="EE921" s="93"/>
      <c r="EF921" s="93"/>
      <c r="EG921" s="93"/>
      <c r="EH921" s="93"/>
      <c r="EI921" s="93"/>
      <c r="EJ921" s="93"/>
      <c r="EK921" s="93"/>
      <c r="EL921" s="93"/>
      <c r="EM921" s="93"/>
      <c r="EN921" s="93"/>
      <c r="EO921" s="93"/>
      <c r="EP921" s="93"/>
      <c r="EQ921" s="93"/>
      <c r="ER921" s="93"/>
      <c r="ES921" s="93"/>
      <c r="ET921" s="93"/>
      <c r="EU921" s="93"/>
      <c r="EV921" s="93"/>
      <c r="EW921" s="93"/>
      <c r="EX921" s="93"/>
      <c r="EY921" s="93"/>
      <c r="EZ921" s="93"/>
      <c r="FA921" s="93"/>
      <c r="FB921" s="93"/>
      <c r="FC921" s="93"/>
      <c r="FD921" s="93"/>
      <c r="FE921" s="93"/>
      <c r="FF921" s="93"/>
    </row>
    <row r="922" spans="1:162" ht="15.75" customHeight="1">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c r="BS922" s="93"/>
      <c r="BT922" s="93"/>
      <c r="BU922" s="93"/>
      <c r="BV922" s="93"/>
      <c r="BW922" s="93"/>
      <c r="BX922" s="93"/>
      <c r="BY922" s="93"/>
      <c r="BZ922" s="93"/>
      <c r="CA922" s="93"/>
      <c r="CB922" s="93"/>
      <c r="CC922" s="93"/>
      <c r="CD922" s="93"/>
      <c r="CE922" s="93"/>
      <c r="CF922" s="93"/>
      <c r="CG922" s="93"/>
      <c r="CH922" s="93"/>
      <c r="CI922" s="93"/>
      <c r="CJ922" s="93"/>
      <c r="CK922" s="93"/>
      <c r="CL922" s="93"/>
      <c r="CM922" s="93"/>
      <c r="CN922" s="93"/>
      <c r="CO922" s="93"/>
      <c r="CP922" s="93"/>
      <c r="CQ922" s="93"/>
      <c r="CR922" s="93"/>
      <c r="CS922" s="93"/>
      <c r="CT922" s="93"/>
      <c r="CU922" s="93"/>
      <c r="CV922" s="93"/>
      <c r="CW922" s="93"/>
      <c r="CX922" s="93"/>
      <c r="CY922" s="93"/>
      <c r="CZ922" s="93"/>
      <c r="DA922" s="93"/>
      <c r="DB922" s="93"/>
      <c r="DC922" s="93"/>
      <c r="DD922" s="93"/>
      <c r="DE922" s="93"/>
      <c r="DF922" s="93"/>
      <c r="DG922" s="93"/>
      <c r="DH922" s="93"/>
      <c r="DI922" s="93"/>
      <c r="DJ922" s="93"/>
      <c r="DK922" s="93"/>
      <c r="DL922" s="93"/>
      <c r="DM922" s="93"/>
      <c r="DN922" s="93"/>
      <c r="DO922" s="93"/>
      <c r="DP922" s="93"/>
      <c r="DQ922" s="93"/>
      <c r="DR922" s="93"/>
      <c r="DS922" s="93"/>
      <c r="DT922" s="93"/>
      <c r="DU922" s="93"/>
      <c r="DV922" s="93"/>
      <c r="DW922" s="93"/>
      <c r="DX922" s="93"/>
      <c r="DY922" s="93"/>
      <c r="DZ922" s="93"/>
      <c r="EA922" s="93"/>
      <c r="EB922" s="93"/>
      <c r="EC922" s="93"/>
      <c r="ED922" s="93"/>
      <c r="EE922" s="93"/>
      <c r="EF922" s="93"/>
      <c r="EG922" s="93"/>
      <c r="EH922" s="93"/>
      <c r="EI922" s="93"/>
      <c r="EJ922" s="93"/>
      <c r="EK922" s="93"/>
      <c r="EL922" s="93"/>
      <c r="EM922" s="93"/>
      <c r="EN922" s="93"/>
      <c r="EO922" s="93"/>
      <c r="EP922" s="93"/>
      <c r="EQ922" s="93"/>
      <c r="ER922" s="93"/>
      <c r="ES922" s="93"/>
      <c r="ET922" s="93"/>
      <c r="EU922" s="93"/>
      <c r="EV922" s="93"/>
      <c r="EW922" s="93"/>
      <c r="EX922" s="93"/>
      <c r="EY922" s="93"/>
      <c r="EZ922" s="93"/>
      <c r="FA922" s="93"/>
      <c r="FB922" s="93"/>
      <c r="FC922" s="93"/>
      <c r="FD922" s="93"/>
      <c r="FE922" s="93"/>
      <c r="FF922" s="93"/>
    </row>
    <row r="923" spans="1:162" ht="15.75" customHeight="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c r="BS923" s="93"/>
      <c r="BT923" s="93"/>
      <c r="BU923" s="93"/>
      <c r="BV923" s="93"/>
      <c r="BW923" s="93"/>
      <c r="BX923" s="93"/>
      <c r="BY923" s="93"/>
      <c r="BZ923" s="93"/>
      <c r="CA923" s="93"/>
      <c r="CB923" s="93"/>
      <c r="CC923" s="93"/>
      <c r="CD923" s="93"/>
      <c r="CE923" s="93"/>
      <c r="CF923" s="93"/>
      <c r="CG923" s="93"/>
      <c r="CH923" s="93"/>
      <c r="CI923" s="93"/>
      <c r="CJ923" s="93"/>
      <c r="CK923" s="93"/>
      <c r="CL923" s="93"/>
      <c r="CM923" s="93"/>
      <c r="CN923" s="93"/>
      <c r="CO923" s="93"/>
      <c r="CP923" s="93"/>
      <c r="CQ923" s="93"/>
      <c r="CR923" s="93"/>
      <c r="CS923" s="93"/>
      <c r="CT923" s="93"/>
      <c r="CU923" s="93"/>
      <c r="CV923" s="93"/>
      <c r="CW923" s="93"/>
      <c r="CX923" s="93"/>
      <c r="CY923" s="93"/>
      <c r="CZ923" s="93"/>
      <c r="DA923" s="93"/>
      <c r="DB923" s="93"/>
      <c r="DC923" s="93"/>
      <c r="DD923" s="93"/>
      <c r="DE923" s="93"/>
      <c r="DF923" s="93"/>
      <c r="DG923" s="93"/>
      <c r="DH923" s="93"/>
      <c r="DI923" s="93"/>
      <c r="DJ923" s="93"/>
      <c r="DK923" s="93"/>
      <c r="DL923" s="93"/>
      <c r="DM923" s="93"/>
      <c r="DN923" s="93"/>
      <c r="DO923" s="93"/>
      <c r="DP923" s="93"/>
      <c r="DQ923" s="93"/>
      <c r="DR923" s="93"/>
      <c r="DS923" s="93"/>
      <c r="DT923" s="93"/>
      <c r="DU923" s="93"/>
      <c r="DV923" s="93"/>
      <c r="DW923" s="93"/>
      <c r="DX923" s="93"/>
      <c r="DY923" s="93"/>
      <c r="DZ923" s="93"/>
      <c r="EA923" s="93"/>
      <c r="EB923" s="93"/>
      <c r="EC923" s="93"/>
      <c r="ED923" s="93"/>
      <c r="EE923" s="93"/>
      <c r="EF923" s="93"/>
      <c r="EG923" s="93"/>
      <c r="EH923" s="93"/>
      <c r="EI923" s="93"/>
      <c r="EJ923" s="93"/>
      <c r="EK923" s="93"/>
      <c r="EL923" s="93"/>
      <c r="EM923" s="93"/>
      <c r="EN923" s="93"/>
      <c r="EO923" s="93"/>
      <c r="EP923" s="93"/>
      <c r="EQ923" s="93"/>
      <c r="ER923" s="93"/>
      <c r="ES923" s="93"/>
      <c r="ET923" s="93"/>
      <c r="EU923" s="93"/>
      <c r="EV923" s="93"/>
      <c r="EW923" s="93"/>
      <c r="EX923" s="93"/>
      <c r="EY923" s="93"/>
      <c r="EZ923" s="93"/>
      <c r="FA923" s="93"/>
      <c r="FB923" s="93"/>
      <c r="FC923" s="93"/>
      <c r="FD923" s="93"/>
      <c r="FE923" s="93"/>
      <c r="FF923" s="93"/>
    </row>
    <row r="924" spans="1:162" ht="15.75" customHeight="1">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3"/>
      <c r="CD924" s="93"/>
      <c r="CE924" s="93"/>
      <c r="CF924" s="93"/>
      <c r="CG924" s="93"/>
      <c r="CH924" s="93"/>
      <c r="CI924" s="93"/>
      <c r="CJ924" s="93"/>
      <c r="CK924" s="93"/>
      <c r="CL924" s="93"/>
      <c r="CM924" s="93"/>
      <c r="CN924" s="93"/>
      <c r="CO924" s="93"/>
      <c r="CP924" s="93"/>
      <c r="CQ924" s="93"/>
      <c r="CR924" s="93"/>
      <c r="CS924" s="93"/>
      <c r="CT924" s="93"/>
      <c r="CU924" s="93"/>
      <c r="CV924" s="93"/>
      <c r="CW924" s="93"/>
      <c r="CX924" s="93"/>
      <c r="CY924" s="93"/>
      <c r="CZ924" s="93"/>
      <c r="DA924" s="93"/>
      <c r="DB924" s="93"/>
      <c r="DC924" s="93"/>
      <c r="DD924" s="93"/>
      <c r="DE924" s="93"/>
      <c r="DF924" s="93"/>
      <c r="DG924" s="93"/>
      <c r="DH924" s="93"/>
      <c r="DI924" s="93"/>
      <c r="DJ924" s="93"/>
      <c r="DK924" s="93"/>
      <c r="DL924" s="93"/>
      <c r="DM924" s="93"/>
      <c r="DN924" s="93"/>
      <c r="DO924" s="93"/>
      <c r="DP924" s="93"/>
      <c r="DQ924" s="93"/>
      <c r="DR924" s="93"/>
      <c r="DS924" s="93"/>
      <c r="DT924" s="93"/>
      <c r="DU924" s="93"/>
      <c r="DV924" s="93"/>
      <c r="DW924" s="93"/>
      <c r="DX924" s="93"/>
      <c r="DY924" s="93"/>
      <c r="DZ924" s="93"/>
      <c r="EA924" s="93"/>
      <c r="EB924" s="93"/>
      <c r="EC924" s="93"/>
      <c r="ED924" s="93"/>
      <c r="EE924" s="93"/>
      <c r="EF924" s="93"/>
      <c r="EG924" s="93"/>
      <c r="EH924" s="93"/>
      <c r="EI924" s="93"/>
      <c r="EJ924" s="93"/>
      <c r="EK924" s="93"/>
      <c r="EL924" s="93"/>
      <c r="EM924" s="93"/>
      <c r="EN924" s="93"/>
      <c r="EO924" s="93"/>
      <c r="EP924" s="93"/>
      <c r="EQ924" s="93"/>
      <c r="ER924" s="93"/>
      <c r="ES924" s="93"/>
      <c r="ET924" s="93"/>
      <c r="EU924" s="93"/>
      <c r="EV924" s="93"/>
      <c r="EW924" s="93"/>
      <c r="EX924" s="93"/>
      <c r="EY924" s="93"/>
      <c r="EZ924" s="93"/>
      <c r="FA924" s="93"/>
      <c r="FB924" s="93"/>
      <c r="FC924" s="93"/>
      <c r="FD924" s="93"/>
      <c r="FE924" s="93"/>
      <c r="FF924" s="93"/>
    </row>
    <row r="925" spans="1:162" ht="15.75" customHeight="1">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c r="BG925" s="93"/>
      <c r="BH925" s="93"/>
      <c r="BI925" s="93"/>
      <c r="BJ925" s="93"/>
      <c r="BK925" s="93"/>
      <c r="BL925" s="93"/>
      <c r="BM925" s="93"/>
      <c r="BN925" s="93"/>
      <c r="BO925" s="93"/>
      <c r="BP925" s="93"/>
      <c r="BQ925" s="93"/>
      <c r="BR925" s="93"/>
      <c r="BS925" s="93"/>
      <c r="BT925" s="93"/>
      <c r="BU925" s="93"/>
      <c r="BV925" s="93"/>
      <c r="BW925" s="93"/>
      <c r="BX925" s="93"/>
      <c r="BY925" s="93"/>
      <c r="BZ925" s="93"/>
      <c r="CA925" s="93"/>
      <c r="CB925" s="93"/>
      <c r="CC925" s="93"/>
      <c r="CD925" s="93"/>
      <c r="CE925" s="93"/>
      <c r="CF925" s="93"/>
      <c r="CG925" s="93"/>
      <c r="CH925" s="93"/>
      <c r="CI925" s="93"/>
      <c r="CJ925" s="93"/>
      <c r="CK925" s="93"/>
      <c r="CL925" s="93"/>
      <c r="CM925" s="93"/>
      <c r="CN925" s="93"/>
      <c r="CO925" s="93"/>
      <c r="CP925" s="93"/>
      <c r="CQ925" s="93"/>
      <c r="CR925" s="93"/>
      <c r="CS925" s="93"/>
      <c r="CT925" s="93"/>
      <c r="CU925" s="93"/>
      <c r="CV925" s="93"/>
      <c r="CW925" s="93"/>
      <c r="CX925" s="93"/>
      <c r="CY925" s="93"/>
      <c r="CZ925" s="93"/>
      <c r="DA925" s="93"/>
      <c r="DB925" s="93"/>
      <c r="DC925" s="93"/>
      <c r="DD925" s="93"/>
      <c r="DE925" s="93"/>
      <c r="DF925" s="93"/>
      <c r="DG925" s="93"/>
      <c r="DH925" s="93"/>
      <c r="DI925" s="93"/>
      <c r="DJ925" s="93"/>
      <c r="DK925" s="93"/>
      <c r="DL925" s="93"/>
      <c r="DM925" s="93"/>
      <c r="DN925" s="93"/>
      <c r="DO925" s="93"/>
      <c r="DP925" s="93"/>
      <c r="DQ925" s="93"/>
      <c r="DR925" s="93"/>
      <c r="DS925" s="93"/>
      <c r="DT925" s="93"/>
      <c r="DU925" s="93"/>
      <c r="DV925" s="93"/>
      <c r="DW925" s="93"/>
      <c r="DX925" s="93"/>
      <c r="DY925" s="93"/>
      <c r="DZ925" s="93"/>
      <c r="EA925" s="93"/>
      <c r="EB925" s="93"/>
      <c r="EC925" s="93"/>
      <c r="ED925" s="93"/>
      <c r="EE925" s="93"/>
      <c r="EF925" s="93"/>
      <c r="EG925" s="93"/>
      <c r="EH925" s="93"/>
      <c r="EI925" s="93"/>
      <c r="EJ925" s="93"/>
      <c r="EK925" s="93"/>
      <c r="EL925" s="93"/>
      <c r="EM925" s="93"/>
      <c r="EN925" s="93"/>
      <c r="EO925" s="93"/>
      <c r="EP925" s="93"/>
      <c r="EQ925" s="93"/>
      <c r="ER925" s="93"/>
      <c r="ES925" s="93"/>
      <c r="ET925" s="93"/>
      <c r="EU925" s="93"/>
      <c r="EV925" s="93"/>
      <c r="EW925" s="93"/>
      <c r="EX925" s="93"/>
      <c r="EY925" s="93"/>
      <c r="EZ925" s="93"/>
      <c r="FA925" s="93"/>
      <c r="FB925" s="93"/>
      <c r="FC925" s="93"/>
      <c r="FD925" s="93"/>
      <c r="FE925" s="93"/>
      <c r="FF925" s="93"/>
    </row>
    <row r="926" spans="1:162" ht="15.75" customHeight="1">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c r="BS926" s="93"/>
      <c r="BT926" s="93"/>
      <c r="BU926" s="93"/>
      <c r="BV926" s="93"/>
      <c r="BW926" s="93"/>
      <c r="BX926" s="93"/>
      <c r="BY926" s="93"/>
      <c r="BZ926" s="93"/>
      <c r="CA926" s="93"/>
      <c r="CB926" s="93"/>
      <c r="CC926" s="93"/>
      <c r="CD926" s="93"/>
      <c r="CE926" s="93"/>
      <c r="CF926" s="93"/>
      <c r="CG926" s="93"/>
      <c r="CH926" s="93"/>
      <c r="CI926" s="93"/>
      <c r="CJ926" s="93"/>
      <c r="CK926" s="93"/>
      <c r="CL926" s="93"/>
      <c r="CM926" s="93"/>
      <c r="CN926" s="93"/>
      <c r="CO926" s="93"/>
      <c r="CP926" s="93"/>
      <c r="CQ926" s="93"/>
      <c r="CR926" s="93"/>
      <c r="CS926" s="93"/>
      <c r="CT926" s="93"/>
      <c r="CU926" s="93"/>
      <c r="CV926" s="93"/>
      <c r="CW926" s="93"/>
      <c r="CX926" s="93"/>
      <c r="CY926" s="93"/>
      <c r="CZ926" s="93"/>
      <c r="DA926" s="93"/>
      <c r="DB926" s="93"/>
      <c r="DC926" s="93"/>
      <c r="DD926" s="93"/>
      <c r="DE926" s="93"/>
      <c r="DF926" s="93"/>
      <c r="DG926" s="93"/>
      <c r="DH926" s="93"/>
      <c r="DI926" s="93"/>
      <c r="DJ926" s="93"/>
      <c r="DK926" s="93"/>
      <c r="DL926" s="93"/>
      <c r="DM926" s="93"/>
      <c r="DN926" s="93"/>
      <c r="DO926" s="93"/>
      <c r="DP926" s="93"/>
      <c r="DQ926" s="93"/>
      <c r="DR926" s="93"/>
      <c r="DS926" s="93"/>
      <c r="DT926" s="93"/>
      <c r="DU926" s="93"/>
      <c r="DV926" s="93"/>
      <c r="DW926" s="93"/>
      <c r="DX926" s="93"/>
      <c r="DY926" s="93"/>
      <c r="DZ926" s="93"/>
      <c r="EA926" s="93"/>
      <c r="EB926" s="93"/>
      <c r="EC926" s="93"/>
      <c r="ED926" s="93"/>
      <c r="EE926" s="93"/>
      <c r="EF926" s="93"/>
      <c r="EG926" s="93"/>
      <c r="EH926" s="93"/>
      <c r="EI926" s="93"/>
      <c r="EJ926" s="93"/>
      <c r="EK926" s="93"/>
      <c r="EL926" s="93"/>
      <c r="EM926" s="93"/>
      <c r="EN926" s="93"/>
      <c r="EO926" s="93"/>
      <c r="EP926" s="93"/>
      <c r="EQ926" s="93"/>
      <c r="ER926" s="93"/>
      <c r="ES926" s="93"/>
      <c r="ET926" s="93"/>
      <c r="EU926" s="93"/>
      <c r="EV926" s="93"/>
      <c r="EW926" s="93"/>
      <c r="EX926" s="93"/>
      <c r="EY926" s="93"/>
      <c r="EZ926" s="93"/>
      <c r="FA926" s="93"/>
      <c r="FB926" s="93"/>
      <c r="FC926" s="93"/>
      <c r="FD926" s="93"/>
      <c r="FE926" s="93"/>
      <c r="FF926" s="93"/>
    </row>
    <row r="927" spans="1:162" ht="15.75" customHeight="1">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c r="BS927" s="93"/>
      <c r="BT927" s="93"/>
      <c r="BU927" s="93"/>
      <c r="BV927" s="93"/>
      <c r="BW927" s="93"/>
      <c r="BX927" s="93"/>
      <c r="BY927" s="93"/>
      <c r="BZ927" s="93"/>
      <c r="CA927" s="93"/>
      <c r="CB927" s="93"/>
      <c r="CC927" s="93"/>
      <c r="CD927" s="93"/>
      <c r="CE927" s="93"/>
      <c r="CF927" s="93"/>
      <c r="CG927" s="93"/>
      <c r="CH927" s="93"/>
      <c r="CI927" s="93"/>
      <c r="CJ927" s="93"/>
      <c r="CK927" s="93"/>
      <c r="CL927" s="93"/>
      <c r="CM927" s="93"/>
      <c r="CN927" s="93"/>
      <c r="CO927" s="93"/>
      <c r="CP927" s="93"/>
      <c r="CQ927" s="93"/>
      <c r="CR927" s="93"/>
      <c r="CS927" s="93"/>
      <c r="CT927" s="93"/>
      <c r="CU927" s="93"/>
      <c r="CV927" s="93"/>
      <c r="CW927" s="93"/>
      <c r="CX927" s="93"/>
      <c r="CY927" s="93"/>
      <c r="CZ927" s="93"/>
      <c r="DA927" s="93"/>
      <c r="DB927" s="93"/>
      <c r="DC927" s="93"/>
      <c r="DD927" s="93"/>
      <c r="DE927" s="93"/>
      <c r="DF927" s="93"/>
      <c r="DG927" s="93"/>
      <c r="DH927" s="93"/>
      <c r="DI927" s="93"/>
      <c r="DJ927" s="93"/>
      <c r="DK927" s="93"/>
      <c r="DL927" s="93"/>
      <c r="DM927" s="93"/>
      <c r="DN927" s="93"/>
      <c r="DO927" s="93"/>
      <c r="DP927" s="93"/>
      <c r="DQ927" s="93"/>
      <c r="DR927" s="93"/>
      <c r="DS927" s="93"/>
      <c r="DT927" s="93"/>
      <c r="DU927" s="93"/>
      <c r="DV927" s="93"/>
      <c r="DW927" s="93"/>
      <c r="DX927" s="93"/>
      <c r="DY927" s="93"/>
      <c r="DZ927" s="93"/>
      <c r="EA927" s="93"/>
      <c r="EB927" s="93"/>
      <c r="EC927" s="93"/>
      <c r="ED927" s="93"/>
      <c r="EE927" s="93"/>
      <c r="EF927" s="93"/>
      <c r="EG927" s="93"/>
      <c r="EH927" s="93"/>
      <c r="EI927" s="93"/>
      <c r="EJ927" s="93"/>
      <c r="EK927" s="93"/>
      <c r="EL927" s="93"/>
      <c r="EM927" s="93"/>
      <c r="EN927" s="93"/>
      <c r="EO927" s="93"/>
      <c r="EP927" s="93"/>
      <c r="EQ927" s="93"/>
      <c r="ER927" s="93"/>
      <c r="ES927" s="93"/>
      <c r="ET927" s="93"/>
      <c r="EU927" s="93"/>
      <c r="EV927" s="93"/>
      <c r="EW927" s="93"/>
      <c r="EX927" s="93"/>
      <c r="EY927" s="93"/>
      <c r="EZ927" s="93"/>
      <c r="FA927" s="93"/>
      <c r="FB927" s="93"/>
      <c r="FC927" s="93"/>
      <c r="FD927" s="93"/>
      <c r="FE927" s="93"/>
      <c r="FF927" s="93"/>
    </row>
    <row r="928" spans="1:162" ht="15.75" customHeight="1">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3"/>
      <c r="BU928" s="93"/>
      <c r="BV928" s="93"/>
      <c r="BW928" s="93"/>
      <c r="BX928" s="93"/>
      <c r="BY928" s="93"/>
      <c r="BZ928" s="93"/>
      <c r="CA928" s="93"/>
      <c r="CB928" s="93"/>
      <c r="CC928" s="93"/>
      <c r="CD928" s="93"/>
      <c r="CE928" s="93"/>
      <c r="CF928" s="93"/>
      <c r="CG928" s="93"/>
      <c r="CH928" s="93"/>
      <c r="CI928" s="93"/>
      <c r="CJ928" s="93"/>
      <c r="CK928" s="93"/>
      <c r="CL928" s="93"/>
      <c r="CM928" s="93"/>
      <c r="CN928" s="93"/>
      <c r="CO928" s="93"/>
      <c r="CP928" s="93"/>
      <c r="CQ928" s="93"/>
      <c r="CR928" s="93"/>
      <c r="CS928" s="93"/>
      <c r="CT928" s="93"/>
      <c r="CU928" s="93"/>
      <c r="CV928" s="93"/>
      <c r="CW928" s="93"/>
      <c r="CX928" s="93"/>
      <c r="CY928" s="93"/>
      <c r="CZ928" s="93"/>
      <c r="DA928" s="93"/>
      <c r="DB928" s="93"/>
      <c r="DC928" s="93"/>
      <c r="DD928" s="93"/>
      <c r="DE928" s="93"/>
      <c r="DF928" s="93"/>
      <c r="DG928" s="93"/>
      <c r="DH928" s="93"/>
      <c r="DI928" s="93"/>
      <c r="DJ928" s="93"/>
      <c r="DK928" s="93"/>
      <c r="DL928" s="93"/>
      <c r="DM928" s="93"/>
      <c r="DN928" s="93"/>
      <c r="DO928" s="93"/>
      <c r="DP928" s="93"/>
      <c r="DQ928" s="93"/>
      <c r="DR928" s="93"/>
      <c r="DS928" s="93"/>
      <c r="DT928" s="93"/>
      <c r="DU928" s="93"/>
      <c r="DV928" s="93"/>
      <c r="DW928" s="93"/>
      <c r="DX928" s="93"/>
      <c r="DY928" s="93"/>
      <c r="DZ928" s="93"/>
      <c r="EA928" s="93"/>
      <c r="EB928" s="93"/>
      <c r="EC928" s="93"/>
      <c r="ED928" s="93"/>
      <c r="EE928" s="93"/>
      <c r="EF928" s="93"/>
      <c r="EG928" s="93"/>
      <c r="EH928" s="93"/>
      <c r="EI928" s="93"/>
      <c r="EJ928" s="93"/>
      <c r="EK928" s="93"/>
      <c r="EL928" s="93"/>
      <c r="EM928" s="93"/>
      <c r="EN928" s="93"/>
      <c r="EO928" s="93"/>
      <c r="EP928" s="93"/>
      <c r="EQ928" s="93"/>
      <c r="ER928" s="93"/>
      <c r="ES928" s="93"/>
      <c r="ET928" s="93"/>
      <c r="EU928" s="93"/>
      <c r="EV928" s="93"/>
      <c r="EW928" s="93"/>
      <c r="EX928" s="93"/>
      <c r="EY928" s="93"/>
      <c r="EZ928" s="93"/>
      <c r="FA928" s="93"/>
      <c r="FB928" s="93"/>
      <c r="FC928" s="93"/>
      <c r="FD928" s="93"/>
      <c r="FE928" s="93"/>
      <c r="FF928" s="93"/>
    </row>
    <row r="929" spans="1:162" ht="15.75" customHeight="1">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Q929" s="93"/>
      <c r="BR929" s="93"/>
      <c r="BS929" s="93"/>
      <c r="BT929" s="93"/>
      <c r="BU929" s="93"/>
      <c r="BV929" s="93"/>
      <c r="BW929" s="93"/>
      <c r="BX929" s="93"/>
      <c r="BY929" s="93"/>
      <c r="BZ929" s="93"/>
      <c r="CA929" s="93"/>
      <c r="CB929" s="93"/>
      <c r="CC929" s="93"/>
      <c r="CD929" s="93"/>
      <c r="CE929" s="93"/>
      <c r="CF929" s="93"/>
      <c r="CG929" s="93"/>
      <c r="CH929" s="93"/>
      <c r="CI929" s="93"/>
      <c r="CJ929" s="93"/>
      <c r="CK929" s="93"/>
      <c r="CL929" s="93"/>
      <c r="CM929" s="93"/>
      <c r="CN929" s="93"/>
      <c r="CO929" s="93"/>
      <c r="CP929" s="93"/>
      <c r="CQ929" s="93"/>
      <c r="CR929" s="93"/>
      <c r="CS929" s="93"/>
      <c r="CT929" s="93"/>
      <c r="CU929" s="93"/>
      <c r="CV929" s="93"/>
      <c r="CW929" s="93"/>
      <c r="CX929" s="93"/>
      <c r="CY929" s="93"/>
      <c r="CZ929" s="93"/>
      <c r="DA929" s="93"/>
      <c r="DB929" s="93"/>
      <c r="DC929" s="93"/>
      <c r="DD929" s="93"/>
      <c r="DE929" s="93"/>
      <c r="DF929" s="93"/>
      <c r="DG929" s="93"/>
      <c r="DH929" s="93"/>
      <c r="DI929" s="93"/>
      <c r="DJ929" s="93"/>
      <c r="DK929" s="93"/>
      <c r="DL929" s="93"/>
      <c r="DM929" s="93"/>
      <c r="DN929" s="93"/>
      <c r="DO929" s="93"/>
      <c r="DP929" s="93"/>
      <c r="DQ929" s="93"/>
      <c r="DR929" s="93"/>
      <c r="DS929" s="93"/>
      <c r="DT929" s="93"/>
      <c r="DU929" s="93"/>
      <c r="DV929" s="93"/>
      <c r="DW929" s="93"/>
      <c r="DX929" s="93"/>
      <c r="DY929" s="93"/>
      <c r="DZ929" s="93"/>
      <c r="EA929" s="93"/>
      <c r="EB929" s="93"/>
      <c r="EC929" s="93"/>
      <c r="ED929" s="93"/>
      <c r="EE929" s="93"/>
      <c r="EF929" s="93"/>
      <c r="EG929" s="93"/>
      <c r="EH929" s="93"/>
      <c r="EI929" s="93"/>
      <c r="EJ929" s="93"/>
      <c r="EK929" s="93"/>
      <c r="EL929" s="93"/>
      <c r="EM929" s="93"/>
      <c r="EN929" s="93"/>
      <c r="EO929" s="93"/>
      <c r="EP929" s="93"/>
      <c r="EQ929" s="93"/>
      <c r="ER929" s="93"/>
      <c r="ES929" s="93"/>
      <c r="ET929" s="93"/>
      <c r="EU929" s="93"/>
      <c r="EV929" s="93"/>
      <c r="EW929" s="93"/>
      <c r="EX929" s="93"/>
      <c r="EY929" s="93"/>
      <c r="EZ929" s="93"/>
      <c r="FA929" s="93"/>
      <c r="FB929" s="93"/>
      <c r="FC929" s="93"/>
      <c r="FD929" s="93"/>
      <c r="FE929" s="93"/>
      <c r="FF929" s="93"/>
    </row>
    <row r="930" spans="1:162" ht="15.75" customHeight="1">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93"/>
      <c r="BI930" s="93"/>
      <c r="BJ930" s="93"/>
      <c r="BK930" s="93"/>
      <c r="BL930" s="93"/>
      <c r="BM930" s="93"/>
      <c r="BN930" s="93"/>
      <c r="BO930" s="93"/>
      <c r="BP930" s="93"/>
      <c r="BQ930" s="93"/>
      <c r="BR930" s="93"/>
      <c r="BS930" s="93"/>
      <c r="BT930" s="93"/>
      <c r="BU930" s="93"/>
      <c r="BV930" s="93"/>
      <c r="BW930" s="93"/>
      <c r="BX930" s="93"/>
      <c r="BY930" s="93"/>
      <c r="BZ930" s="93"/>
      <c r="CA930" s="93"/>
      <c r="CB930" s="93"/>
      <c r="CC930" s="93"/>
      <c r="CD930" s="93"/>
      <c r="CE930" s="93"/>
      <c r="CF930" s="93"/>
      <c r="CG930" s="93"/>
      <c r="CH930" s="93"/>
      <c r="CI930" s="93"/>
      <c r="CJ930" s="93"/>
      <c r="CK930" s="93"/>
      <c r="CL930" s="93"/>
      <c r="CM930" s="93"/>
      <c r="CN930" s="93"/>
      <c r="CO930" s="93"/>
      <c r="CP930" s="93"/>
      <c r="CQ930" s="93"/>
      <c r="CR930" s="93"/>
      <c r="CS930" s="93"/>
      <c r="CT930" s="93"/>
      <c r="CU930" s="93"/>
      <c r="CV930" s="93"/>
      <c r="CW930" s="93"/>
      <c r="CX930" s="93"/>
      <c r="CY930" s="93"/>
      <c r="CZ930" s="93"/>
      <c r="DA930" s="93"/>
      <c r="DB930" s="93"/>
      <c r="DC930" s="93"/>
      <c r="DD930" s="93"/>
      <c r="DE930" s="93"/>
      <c r="DF930" s="93"/>
      <c r="DG930" s="93"/>
      <c r="DH930" s="93"/>
      <c r="DI930" s="93"/>
      <c r="DJ930" s="93"/>
      <c r="DK930" s="93"/>
      <c r="DL930" s="93"/>
      <c r="DM930" s="93"/>
      <c r="DN930" s="93"/>
      <c r="DO930" s="93"/>
      <c r="DP930" s="93"/>
      <c r="DQ930" s="93"/>
      <c r="DR930" s="93"/>
      <c r="DS930" s="93"/>
      <c r="DT930" s="93"/>
      <c r="DU930" s="93"/>
      <c r="DV930" s="93"/>
      <c r="DW930" s="93"/>
      <c r="DX930" s="93"/>
      <c r="DY930" s="93"/>
      <c r="DZ930" s="93"/>
      <c r="EA930" s="93"/>
      <c r="EB930" s="93"/>
      <c r="EC930" s="93"/>
      <c r="ED930" s="93"/>
      <c r="EE930" s="93"/>
      <c r="EF930" s="93"/>
      <c r="EG930" s="93"/>
      <c r="EH930" s="93"/>
      <c r="EI930" s="93"/>
      <c r="EJ930" s="93"/>
      <c r="EK930" s="93"/>
      <c r="EL930" s="93"/>
      <c r="EM930" s="93"/>
      <c r="EN930" s="93"/>
      <c r="EO930" s="93"/>
      <c r="EP930" s="93"/>
      <c r="EQ930" s="93"/>
      <c r="ER930" s="93"/>
      <c r="ES930" s="93"/>
      <c r="ET930" s="93"/>
      <c r="EU930" s="93"/>
      <c r="EV930" s="93"/>
      <c r="EW930" s="93"/>
      <c r="EX930" s="93"/>
      <c r="EY930" s="93"/>
      <c r="EZ930" s="93"/>
      <c r="FA930" s="93"/>
      <c r="FB930" s="93"/>
      <c r="FC930" s="93"/>
      <c r="FD930" s="93"/>
      <c r="FE930" s="93"/>
      <c r="FF930" s="93"/>
    </row>
    <row r="931" spans="1:162" ht="15.75" customHeight="1">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c r="BG931" s="93"/>
      <c r="BH931" s="93"/>
      <c r="BI931" s="93"/>
      <c r="BJ931" s="93"/>
      <c r="BK931" s="93"/>
      <c r="BL931" s="93"/>
      <c r="BM931" s="93"/>
      <c r="BN931" s="93"/>
      <c r="BO931" s="93"/>
      <c r="BP931" s="93"/>
      <c r="BQ931" s="93"/>
      <c r="BR931" s="93"/>
      <c r="BS931" s="93"/>
      <c r="BT931" s="93"/>
      <c r="BU931" s="93"/>
      <c r="BV931" s="93"/>
      <c r="BW931" s="93"/>
      <c r="BX931" s="93"/>
      <c r="BY931" s="93"/>
      <c r="BZ931" s="93"/>
      <c r="CA931" s="93"/>
      <c r="CB931" s="93"/>
      <c r="CC931" s="93"/>
      <c r="CD931" s="93"/>
      <c r="CE931" s="93"/>
      <c r="CF931" s="93"/>
      <c r="CG931" s="93"/>
      <c r="CH931" s="93"/>
      <c r="CI931" s="93"/>
      <c r="CJ931" s="93"/>
      <c r="CK931" s="93"/>
      <c r="CL931" s="93"/>
      <c r="CM931" s="93"/>
      <c r="CN931" s="93"/>
      <c r="CO931" s="93"/>
      <c r="CP931" s="93"/>
      <c r="CQ931" s="93"/>
      <c r="CR931" s="93"/>
      <c r="CS931" s="93"/>
      <c r="CT931" s="93"/>
      <c r="CU931" s="93"/>
      <c r="CV931" s="93"/>
      <c r="CW931" s="93"/>
      <c r="CX931" s="93"/>
      <c r="CY931" s="93"/>
      <c r="CZ931" s="93"/>
      <c r="DA931" s="93"/>
      <c r="DB931" s="93"/>
      <c r="DC931" s="93"/>
      <c r="DD931" s="93"/>
      <c r="DE931" s="93"/>
      <c r="DF931" s="93"/>
      <c r="DG931" s="93"/>
      <c r="DH931" s="93"/>
      <c r="DI931" s="93"/>
      <c r="DJ931" s="93"/>
      <c r="DK931" s="93"/>
      <c r="DL931" s="93"/>
      <c r="DM931" s="93"/>
      <c r="DN931" s="93"/>
      <c r="DO931" s="93"/>
      <c r="DP931" s="93"/>
      <c r="DQ931" s="93"/>
      <c r="DR931" s="93"/>
      <c r="DS931" s="93"/>
      <c r="DT931" s="93"/>
      <c r="DU931" s="93"/>
      <c r="DV931" s="93"/>
      <c r="DW931" s="93"/>
      <c r="DX931" s="93"/>
      <c r="DY931" s="93"/>
      <c r="DZ931" s="93"/>
      <c r="EA931" s="93"/>
      <c r="EB931" s="93"/>
      <c r="EC931" s="93"/>
      <c r="ED931" s="93"/>
      <c r="EE931" s="93"/>
      <c r="EF931" s="93"/>
      <c r="EG931" s="93"/>
      <c r="EH931" s="93"/>
      <c r="EI931" s="93"/>
      <c r="EJ931" s="93"/>
      <c r="EK931" s="93"/>
      <c r="EL931" s="93"/>
      <c r="EM931" s="93"/>
      <c r="EN931" s="93"/>
      <c r="EO931" s="93"/>
      <c r="EP931" s="93"/>
      <c r="EQ931" s="93"/>
      <c r="ER931" s="93"/>
      <c r="ES931" s="93"/>
      <c r="ET931" s="93"/>
      <c r="EU931" s="93"/>
      <c r="EV931" s="93"/>
      <c r="EW931" s="93"/>
      <c r="EX931" s="93"/>
      <c r="EY931" s="93"/>
      <c r="EZ931" s="93"/>
      <c r="FA931" s="93"/>
      <c r="FB931" s="93"/>
      <c r="FC931" s="93"/>
      <c r="FD931" s="93"/>
      <c r="FE931" s="93"/>
      <c r="FF931" s="93"/>
    </row>
    <row r="932" spans="1:162" ht="15.75" customHeight="1">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c r="BG932" s="93"/>
      <c r="BH932" s="93"/>
      <c r="BI932" s="93"/>
      <c r="BJ932" s="93"/>
      <c r="BK932" s="93"/>
      <c r="BL932" s="93"/>
      <c r="BM932" s="93"/>
      <c r="BN932" s="93"/>
      <c r="BO932" s="93"/>
      <c r="BP932" s="93"/>
      <c r="BQ932" s="93"/>
      <c r="BR932" s="93"/>
      <c r="BS932" s="93"/>
      <c r="BT932" s="93"/>
      <c r="BU932" s="93"/>
      <c r="BV932" s="93"/>
      <c r="BW932" s="93"/>
      <c r="BX932" s="93"/>
      <c r="BY932" s="93"/>
      <c r="BZ932" s="93"/>
      <c r="CA932" s="93"/>
      <c r="CB932" s="93"/>
      <c r="CC932" s="93"/>
      <c r="CD932" s="93"/>
      <c r="CE932" s="93"/>
      <c r="CF932" s="93"/>
      <c r="CG932" s="93"/>
      <c r="CH932" s="93"/>
      <c r="CI932" s="93"/>
      <c r="CJ932" s="93"/>
      <c r="CK932" s="93"/>
      <c r="CL932" s="93"/>
      <c r="CM932" s="93"/>
      <c r="CN932" s="93"/>
      <c r="CO932" s="93"/>
      <c r="CP932" s="93"/>
      <c r="CQ932" s="93"/>
      <c r="CR932" s="93"/>
      <c r="CS932" s="93"/>
      <c r="CT932" s="93"/>
      <c r="CU932" s="93"/>
      <c r="CV932" s="93"/>
      <c r="CW932" s="93"/>
      <c r="CX932" s="93"/>
      <c r="CY932" s="93"/>
      <c r="CZ932" s="93"/>
      <c r="DA932" s="93"/>
      <c r="DB932" s="93"/>
      <c r="DC932" s="93"/>
      <c r="DD932" s="93"/>
      <c r="DE932" s="93"/>
      <c r="DF932" s="93"/>
      <c r="DG932" s="93"/>
      <c r="DH932" s="93"/>
      <c r="DI932" s="93"/>
      <c r="DJ932" s="93"/>
      <c r="DK932" s="93"/>
      <c r="DL932" s="93"/>
      <c r="DM932" s="93"/>
      <c r="DN932" s="93"/>
      <c r="DO932" s="93"/>
      <c r="DP932" s="93"/>
      <c r="DQ932" s="93"/>
      <c r="DR932" s="93"/>
      <c r="DS932" s="93"/>
      <c r="DT932" s="93"/>
      <c r="DU932" s="93"/>
      <c r="DV932" s="93"/>
      <c r="DW932" s="93"/>
      <c r="DX932" s="93"/>
      <c r="DY932" s="93"/>
      <c r="DZ932" s="93"/>
      <c r="EA932" s="93"/>
      <c r="EB932" s="93"/>
      <c r="EC932" s="93"/>
      <c r="ED932" s="93"/>
      <c r="EE932" s="93"/>
      <c r="EF932" s="93"/>
      <c r="EG932" s="93"/>
      <c r="EH932" s="93"/>
      <c r="EI932" s="93"/>
      <c r="EJ932" s="93"/>
      <c r="EK932" s="93"/>
      <c r="EL932" s="93"/>
      <c r="EM932" s="93"/>
      <c r="EN932" s="93"/>
      <c r="EO932" s="93"/>
      <c r="EP932" s="93"/>
      <c r="EQ932" s="93"/>
      <c r="ER932" s="93"/>
      <c r="ES932" s="93"/>
      <c r="ET932" s="93"/>
      <c r="EU932" s="93"/>
      <c r="EV932" s="93"/>
      <c r="EW932" s="93"/>
      <c r="EX932" s="93"/>
      <c r="EY932" s="93"/>
      <c r="EZ932" s="93"/>
      <c r="FA932" s="93"/>
      <c r="FB932" s="93"/>
      <c r="FC932" s="93"/>
      <c r="FD932" s="93"/>
      <c r="FE932" s="93"/>
      <c r="FF932" s="93"/>
    </row>
    <row r="933" spans="1:162" ht="15.75" customHeight="1">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c r="BS933" s="93"/>
      <c r="BT933" s="93"/>
      <c r="BU933" s="93"/>
      <c r="BV933" s="93"/>
      <c r="BW933" s="93"/>
      <c r="BX933" s="93"/>
      <c r="BY933" s="93"/>
      <c r="BZ933" s="93"/>
      <c r="CA933" s="93"/>
      <c r="CB933" s="93"/>
      <c r="CC933" s="93"/>
      <c r="CD933" s="93"/>
      <c r="CE933" s="93"/>
      <c r="CF933" s="93"/>
      <c r="CG933" s="93"/>
      <c r="CH933" s="93"/>
      <c r="CI933" s="93"/>
      <c r="CJ933" s="93"/>
      <c r="CK933" s="93"/>
      <c r="CL933" s="93"/>
      <c r="CM933" s="93"/>
      <c r="CN933" s="93"/>
      <c r="CO933" s="93"/>
      <c r="CP933" s="93"/>
      <c r="CQ933" s="93"/>
      <c r="CR933" s="93"/>
      <c r="CS933" s="93"/>
      <c r="CT933" s="93"/>
      <c r="CU933" s="93"/>
      <c r="CV933" s="93"/>
      <c r="CW933" s="93"/>
      <c r="CX933" s="93"/>
      <c r="CY933" s="93"/>
      <c r="CZ933" s="93"/>
      <c r="DA933" s="93"/>
      <c r="DB933" s="93"/>
      <c r="DC933" s="93"/>
      <c r="DD933" s="93"/>
      <c r="DE933" s="93"/>
      <c r="DF933" s="93"/>
      <c r="DG933" s="93"/>
      <c r="DH933" s="93"/>
      <c r="DI933" s="93"/>
      <c r="DJ933" s="93"/>
      <c r="DK933" s="93"/>
      <c r="DL933" s="93"/>
      <c r="DM933" s="93"/>
      <c r="DN933" s="93"/>
      <c r="DO933" s="93"/>
      <c r="DP933" s="93"/>
      <c r="DQ933" s="93"/>
      <c r="DR933" s="93"/>
      <c r="DS933" s="93"/>
      <c r="DT933" s="93"/>
      <c r="DU933" s="93"/>
      <c r="DV933" s="93"/>
      <c r="DW933" s="93"/>
      <c r="DX933" s="93"/>
      <c r="DY933" s="93"/>
      <c r="DZ933" s="93"/>
      <c r="EA933" s="93"/>
      <c r="EB933" s="93"/>
      <c r="EC933" s="93"/>
      <c r="ED933" s="93"/>
      <c r="EE933" s="93"/>
      <c r="EF933" s="93"/>
      <c r="EG933" s="93"/>
      <c r="EH933" s="93"/>
      <c r="EI933" s="93"/>
      <c r="EJ933" s="93"/>
      <c r="EK933" s="93"/>
      <c r="EL933" s="93"/>
      <c r="EM933" s="93"/>
      <c r="EN933" s="93"/>
      <c r="EO933" s="93"/>
      <c r="EP933" s="93"/>
      <c r="EQ933" s="93"/>
      <c r="ER933" s="93"/>
      <c r="ES933" s="93"/>
      <c r="ET933" s="93"/>
      <c r="EU933" s="93"/>
      <c r="EV933" s="93"/>
      <c r="EW933" s="93"/>
      <c r="EX933" s="93"/>
      <c r="EY933" s="93"/>
      <c r="EZ933" s="93"/>
      <c r="FA933" s="93"/>
      <c r="FB933" s="93"/>
      <c r="FC933" s="93"/>
      <c r="FD933" s="93"/>
      <c r="FE933" s="93"/>
      <c r="FF933" s="93"/>
    </row>
    <row r="934" spans="1:162" ht="15.75" customHeight="1">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c r="BS934" s="93"/>
      <c r="BT934" s="93"/>
      <c r="BU934" s="93"/>
      <c r="BV934" s="93"/>
      <c r="BW934" s="93"/>
      <c r="BX934" s="93"/>
      <c r="BY934" s="93"/>
      <c r="BZ934" s="93"/>
      <c r="CA934" s="93"/>
      <c r="CB934" s="93"/>
      <c r="CC934" s="93"/>
      <c r="CD934" s="93"/>
      <c r="CE934" s="93"/>
      <c r="CF934" s="93"/>
      <c r="CG934" s="93"/>
      <c r="CH934" s="93"/>
      <c r="CI934" s="93"/>
      <c r="CJ934" s="93"/>
      <c r="CK934" s="93"/>
      <c r="CL934" s="93"/>
      <c r="CM934" s="93"/>
      <c r="CN934" s="93"/>
      <c r="CO934" s="93"/>
      <c r="CP934" s="93"/>
      <c r="CQ934" s="93"/>
      <c r="CR934" s="93"/>
      <c r="CS934" s="93"/>
      <c r="CT934" s="93"/>
      <c r="CU934" s="93"/>
      <c r="CV934" s="93"/>
      <c r="CW934" s="93"/>
      <c r="CX934" s="93"/>
      <c r="CY934" s="93"/>
      <c r="CZ934" s="93"/>
      <c r="DA934" s="93"/>
      <c r="DB934" s="93"/>
      <c r="DC934" s="93"/>
      <c r="DD934" s="93"/>
      <c r="DE934" s="93"/>
      <c r="DF934" s="93"/>
      <c r="DG934" s="93"/>
      <c r="DH934" s="93"/>
      <c r="DI934" s="93"/>
      <c r="DJ934" s="93"/>
      <c r="DK934" s="93"/>
      <c r="DL934" s="93"/>
      <c r="DM934" s="93"/>
      <c r="DN934" s="93"/>
      <c r="DO934" s="93"/>
      <c r="DP934" s="93"/>
      <c r="DQ934" s="93"/>
      <c r="DR934" s="93"/>
      <c r="DS934" s="93"/>
      <c r="DT934" s="93"/>
      <c r="DU934" s="93"/>
      <c r="DV934" s="93"/>
      <c r="DW934" s="93"/>
      <c r="DX934" s="93"/>
      <c r="DY934" s="93"/>
      <c r="DZ934" s="93"/>
      <c r="EA934" s="93"/>
      <c r="EB934" s="93"/>
      <c r="EC934" s="93"/>
      <c r="ED934" s="93"/>
      <c r="EE934" s="93"/>
      <c r="EF934" s="93"/>
      <c r="EG934" s="93"/>
      <c r="EH934" s="93"/>
      <c r="EI934" s="93"/>
      <c r="EJ934" s="93"/>
      <c r="EK934" s="93"/>
      <c r="EL934" s="93"/>
      <c r="EM934" s="93"/>
      <c r="EN934" s="93"/>
      <c r="EO934" s="93"/>
      <c r="EP934" s="93"/>
      <c r="EQ934" s="93"/>
      <c r="ER934" s="93"/>
      <c r="ES934" s="93"/>
      <c r="ET934" s="93"/>
      <c r="EU934" s="93"/>
      <c r="EV934" s="93"/>
      <c r="EW934" s="93"/>
      <c r="EX934" s="93"/>
      <c r="EY934" s="93"/>
      <c r="EZ934" s="93"/>
      <c r="FA934" s="93"/>
      <c r="FB934" s="93"/>
      <c r="FC934" s="93"/>
      <c r="FD934" s="93"/>
      <c r="FE934" s="93"/>
      <c r="FF934" s="93"/>
    </row>
    <row r="935" spans="1:162" ht="15.75" customHeight="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c r="CC935" s="93"/>
      <c r="CD935" s="93"/>
      <c r="CE935" s="93"/>
      <c r="CF935" s="93"/>
      <c r="CG935" s="93"/>
      <c r="CH935" s="93"/>
      <c r="CI935" s="93"/>
      <c r="CJ935" s="93"/>
      <c r="CK935" s="93"/>
      <c r="CL935" s="93"/>
      <c r="CM935" s="93"/>
      <c r="CN935" s="93"/>
      <c r="CO935" s="93"/>
      <c r="CP935" s="93"/>
      <c r="CQ935" s="93"/>
      <c r="CR935" s="93"/>
      <c r="CS935" s="93"/>
      <c r="CT935" s="93"/>
      <c r="CU935" s="93"/>
      <c r="CV935" s="93"/>
      <c r="CW935" s="93"/>
      <c r="CX935" s="93"/>
      <c r="CY935" s="93"/>
      <c r="CZ935" s="93"/>
      <c r="DA935" s="93"/>
      <c r="DB935" s="93"/>
      <c r="DC935" s="93"/>
      <c r="DD935" s="93"/>
      <c r="DE935" s="93"/>
      <c r="DF935" s="93"/>
      <c r="DG935" s="93"/>
      <c r="DH935" s="93"/>
      <c r="DI935" s="93"/>
      <c r="DJ935" s="93"/>
      <c r="DK935" s="93"/>
      <c r="DL935" s="93"/>
      <c r="DM935" s="93"/>
      <c r="DN935" s="93"/>
      <c r="DO935" s="93"/>
      <c r="DP935" s="93"/>
      <c r="DQ935" s="93"/>
      <c r="DR935" s="93"/>
      <c r="DS935" s="93"/>
      <c r="DT935" s="93"/>
      <c r="DU935" s="93"/>
      <c r="DV935" s="93"/>
      <c r="DW935" s="93"/>
      <c r="DX935" s="93"/>
      <c r="DY935" s="93"/>
      <c r="DZ935" s="93"/>
      <c r="EA935" s="93"/>
      <c r="EB935" s="93"/>
      <c r="EC935" s="93"/>
      <c r="ED935" s="93"/>
      <c r="EE935" s="93"/>
      <c r="EF935" s="93"/>
      <c r="EG935" s="93"/>
      <c r="EH935" s="93"/>
      <c r="EI935" s="93"/>
      <c r="EJ935" s="93"/>
      <c r="EK935" s="93"/>
      <c r="EL935" s="93"/>
      <c r="EM935" s="93"/>
      <c r="EN935" s="93"/>
      <c r="EO935" s="93"/>
      <c r="EP935" s="93"/>
      <c r="EQ935" s="93"/>
      <c r="ER935" s="93"/>
      <c r="ES935" s="93"/>
      <c r="ET935" s="93"/>
      <c r="EU935" s="93"/>
      <c r="EV935" s="93"/>
      <c r="EW935" s="93"/>
      <c r="EX935" s="93"/>
      <c r="EY935" s="93"/>
      <c r="EZ935" s="93"/>
      <c r="FA935" s="93"/>
      <c r="FB935" s="93"/>
      <c r="FC935" s="93"/>
      <c r="FD935" s="93"/>
      <c r="FE935" s="93"/>
      <c r="FF935" s="93"/>
    </row>
    <row r="936" spans="1:162" ht="15.75" customHeight="1">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c r="BS936" s="93"/>
      <c r="BT936" s="93"/>
      <c r="BU936" s="93"/>
      <c r="BV936" s="93"/>
      <c r="BW936" s="93"/>
      <c r="BX936" s="93"/>
      <c r="BY936" s="93"/>
      <c r="BZ936" s="93"/>
      <c r="CA936" s="93"/>
      <c r="CB936" s="93"/>
      <c r="CC936" s="93"/>
      <c r="CD936" s="93"/>
      <c r="CE936" s="93"/>
      <c r="CF936" s="93"/>
      <c r="CG936" s="93"/>
      <c r="CH936" s="93"/>
      <c r="CI936" s="93"/>
      <c r="CJ936" s="93"/>
      <c r="CK936" s="93"/>
      <c r="CL936" s="93"/>
      <c r="CM936" s="93"/>
      <c r="CN936" s="93"/>
      <c r="CO936" s="93"/>
      <c r="CP936" s="93"/>
      <c r="CQ936" s="93"/>
      <c r="CR936" s="93"/>
      <c r="CS936" s="93"/>
      <c r="CT936" s="93"/>
      <c r="CU936" s="93"/>
      <c r="CV936" s="93"/>
      <c r="CW936" s="93"/>
      <c r="CX936" s="93"/>
      <c r="CY936" s="93"/>
      <c r="CZ936" s="93"/>
      <c r="DA936" s="93"/>
      <c r="DB936" s="93"/>
      <c r="DC936" s="93"/>
      <c r="DD936" s="93"/>
      <c r="DE936" s="93"/>
      <c r="DF936" s="93"/>
      <c r="DG936" s="93"/>
      <c r="DH936" s="93"/>
      <c r="DI936" s="93"/>
      <c r="DJ936" s="93"/>
      <c r="DK936" s="93"/>
      <c r="DL936" s="93"/>
      <c r="DM936" s="93"/>
      <c r="DN936" s="93"/>
      <c r="DO936" s="93"/>
      <c r="DP936" s="93"/>
      <c r="DQ936" s="93"/>
      <c r="DR936" s="93"/>
      <c r="DS936" s="93"/>
      <c r="DT936" s="93"/>
      <c r="DU936" s="93"/>
      <c r="DV936" s="93"/>
      <c r="DW936" s="93"/>
      <c r="DX936" s="93"/>
      <c r="DY936" s="93"/>
      <c r="DZ936" s="93"/>
      <c r="EA936" s="93"/>
      <c r="EB936" s="93"/>
      <c r="EC936" s="93"/>
      <c r="ED936" s="93"/>
      <c r="EE936" s="93"/>
      <c r="EF936" s="93"/>
      <c r="EG936" s="93"/>
      <c r="EH936" s="93"/>
      <c r="EI936" s="93"/>
      <c r="EJ936" s="93"/>
      <c r="EK936" s="93"/>
      <c r="EL936" s="93"/>
      <c r="EM936" s="93"/>
      <c r="EN936" s="93"/>
      <c r="EO936" s="93"/>
      <c r="EP936" s="93"/>
      <c r="EQ936" s="93"/>
      <c r="ER936" s="93"/>
      <c r="ES936" s="93"/>
      <c r="ET936" s="93"/>
      <c r="EU936" s="93"/>
      <c r="EV936" s="93"/>
      <c r="EW936" s="93"/>
      <c r="EX936" s="93"/>
      <c r="EY936" s="93"/>
      <c r="EZ936" s="93"/>
      <c r="FA936" s="93"/>
      <c r="FB936" s="93"/>
      <c r="FC936" s="93"/>
      <c r="FD936" s="93"/>
      <c r="FE936" s="93"/>
      <c r="FF936" s="93"/>
    </row>
    <row r="937" spans="1:162" ht="15.75" customHeight="1">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c r="BS937" s="93"/>
      <c r="BT937" s="93"/>
      <c r="BU937" s="93"/>
      <c r="BV937" s="93"/>
      <c r="BW937" s="93"/>
      <c r="BX937" s="93"/>
      <c r="BY937" s="93"/>
      <c r="BZ937" s="93"/>
      <c r="CA937" s="93"/>
      <c r="CB937" s="93"/>
      <c r="CC937" s="93"/>
      <c r="CD937" s="93"/>
      <c r="CE937" s="93"/>
      <c r="CF937" s="93"/>
      <c r="CG937" s="93"/>
      <c r="CH937" s="93"/>
      <c r="CI937" s="93"/>
      <c r="CJ937" s="93"/>
      <c r="CK937" s="93"/>
      <c r="CL937" s="93"/>
      <c r="CM937" s="93"/>
      <c r="CN937" s="93"/>
      <c r="CO937" s="93"/>
      <c r="CP937" s="93"/>
      <c r="CQ937" s="93"/>
      <c r="CR937" s="93"/>
      <c r="CS937" s="93"/>
      <c r="CT937" s="93"/>
      <c r="CU937" s="93"/>
      <c r="CV937" s="93"/>
      <c r="CW937" s="93"/>
      <c r="CX937" s="93"/>
      <c r="CY937" s="93"/>
      <c r="CZ937" s="93"/>
      <c r="DA937" s="93"/>
      <c r="DB937" s="93"/>
      <c r="DC937" s="93"/>
      <c r="DD937" s="93"/>
      <c r="DE937" s="93"/>
      <c r="DF937" s="93"/>
      <c r="DG937" s="93"/>
      <c r="DH937" s="93"/>
      <c r="DI937" s="93"/>
      <c r="DJ937" s="93"/>
      <c r="DK937" s="93"/>
      <c r="DL937" s="93"/>
      <c r="DM937" s="93"/>
      <c r="DN937" s="93"/>
      <c r="DO937" s="93"/>
      <c r="DP937" s="93"/>
      <c r="DQ937" s="93"/>
      <c r="DR937" s="93"/>
      <c r="DS937" s="93"/>
      <c r="DT937" s="93"/>
      <c r="DU937" s="93"/>
      <c r="DV937" s="93"/>
      <c r="DW937" s="93"/>
      <c r="DX937" s="93"/>
      <c r="DY937" s="93"/>
      <c r="DZ937" s="93"/>
      <c r="EA937" s="93"/>
      <c r="EB937" s="93"/>
      <c r="EC937" s="93"/>
      <c r="ED937" s="93"/>
      <c r="EE937" s="93"/>
      <c r="EF937" s="93"/>
      <c r="EG937" s="93"/>
      <c r="EH937" s="93"/>
      <c r="EI937" s="93"/>
      <c r="EJ937" s="93"/>
      <c r="EK937" s="93"/>
      <c r="EL937" s="93"/>
      <c r="EM937" s="93"/>
      <c r="EN937" s="93"/>
      <c r="EO937" s="93"/>
      <c r="EP937" s="93"/>
      <c r="EQ937" s="93"/>
      <c r="ER937" s="93"/>
      <c r="ES937" s="93"/>
      <c r="ET937" s="93"/>
      <c r="EU937" s="93"/>
      <c r="EV937" s="93"/>
      <c r="EW937" s="93"/>
      <c r="EX937" s="93"/>
      <c r="EY937" s="93"/>
      <c r="EZ937" s="93"/>
      <c r="FA937" s="93"/>
      <c r="FB937" s="93"/>
      <c r="FC937" s="93"/>
      <c r="FD937" s="93"/>
      <c r="FE937" s="93"/>
      <c r="FF937" s="93"/>
    </row>
    <row r="938" spans="1:162" ht="15.75" customHeight="1">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93"/>
      <c r="BP938" s="93"/>
      <c r="BQ938" s="93"/>
      <c r="BR938" s="93"/>
      <c r="BS938" s="93"/>
      <c r="BT938" s="93"/>
      <c r="BU938" s="93"/>
      <c r="BV938" s="93"/>
      <c r="BW938" s="93"/>
      <c r="BX938" s="93"/>
      <c r="BY938" s="93"/>
      <c r="BZ938" s="93"/>
      <c r="CA938" s="93"/>
      <c r="CB938" s="93"/>
      <c r="CC938" s="93"/>
      <c r="CD938" s="93"/>
      <c r="CE938" s="93"/>
      <c r="CF938" s="93"/>
      <c r="CG938" s="93"/>
      <c r="CH938" s="93"/>
      <c r="CI938" s="93"/>
      <c r="CJ938" s="93"/>
      <c r="CK938" s="93"/>
      <c r="CL938" s="93"/>
      <c r="CM938" s="93"/>
      <c r="CN938" s="93"/>
      <c r="CO938" s="93"/>
      <c r="CP938" s="93"/>
      <c r="CQ938" s="93"/>
      <c r="CR938" s="93"/>
      <c r="CS938" s="93"/>
      <c r="CT938" s="93"/>
      <c r="CU938" s="93"/>
      <c r="CV938" s="93"/>
      <c r="CW938" s="93"/>
      <c r="CX938" s="93"/>
      <c r="CY938" s="93"/>
      <c r="CZ938" s="93"/>
      <c r="DA938" s="93"/>
      <c r="DB938" s="93"/>
      <c r="DC938" s="93"/>
      <c r="DD938" s="93"/>
      <c r="DE938" s="93"/>
      <c r="DF938" s="93"/>
      <c r="DG938" s="93"/>
      <c r="DH938" s="93"/>
      <c r="DI938" s="93"/>
      <c r="DJ938" s="93"/>
      <c r="DK938" s="93"/>
      <c r="DL938" s="93"/>
      <c r="DM938" s="93"/>
      <c r="DN938" s="93"/>
      <c r="DO938" s="93"/>
      <c r="DP938" s="93"/>
      <c r="DQ938" s="93"/>
      <c r="DR938" s="93"/>
      <c r="DS938" s="93"/>
      <c r="DT938" s="93"/>
      <c r="DU938" s="93"/>
      <c r="DV938" s="93"/>
      <c r="DW938" s="93"/>
      <c r="DX938" s="93"/>
      <c r="DY938" s="93"/>
      <c r="DZ938" s="93"/>
      <c r="EA938" s="93"/>
      <c r="EB938" s="93"/>
      <c r="EC938" s="93"/>
      <c r="ED938" s="93"/>
      <c r="EE938" s="93"/>
      <c r="EF938" s="93"/>
      <c r="EG938" s="93"/>
      <c r="EH938" s="93"/>
      <c r="EI938" s="93"/>
      <c r="EJ938" s="93"/>
      <c r="EK938" s="93"/>
      <c r="EL938" s="93"/>
      <c r="EM938" s="93"/>
      <c r="EN938" s="93"/>
      <c r="EO938" s="93"/>
      <c r="EP938" s="93"/>
      <c r="EQ938" s="93"/>
      <c r="ER938" s="93"/>
      <c r="ES938" s="93"/>
      <c r="ET938" s="93"/>
      <c r="EU938" s="93"/>
      <c r="EV938" s="93"/>
      <c r="EW938" s="93"/>
      <c r="EX938" s="93"/>
      <c r="EY938" s="93"/>
      <c r="EZ938" s="93"/>
      <c r="FA938" s="93"/>
      <c r="FB938" s="93"/>
      <c r="FC938" s="93"/>
      <c r="FD938" s="93"/>
      <c r="FE938" s="93"/>
      <c r="FF938" s="93"/>
    </row>
    <row r="939" spans="1:162" ht="15.75" customHeight="1">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c r="BG939" s="93"/>
      <c r="BH939" s="93"/>
      <c r="BI939" s="93"/>
      <c r="BJ939" s="93"/>
      <c r="BK939" s="93"/>
      <c r="BL939" s="93"/>
      <c r="BM939" s="93"/>
      <c r="BN939" s="93"/>
      <c r="BO939" s="93"/>
      <c r="BP939" s="93"/>
      <c r="BQ939" s="93"/>
      <c r="BR939" s="93"/>
      <c r="BS939" s="93"/>
      <c r="BT939" s="93"/>
      <c r="BU939" s="93"/>
      <c r="BV939" s="93"/>
      <c r="BW939" s="93"/>
      <c r="BX939" s="93"/>
      <c r="BY939" s="93"/>
      <c r="BZ939" s="93"/>
      <c r="CA939" s="93"/>
      <c r="CB939" s="93"/>
      <c r="CC939" s="93"/>
      <c r="CD939" s="93"/>
      <c r="CE939" s="93"/>
      <c r="CF939" s="93"/>
      <c r="CG939" s="93"/>
      <c r="CH939" s="93"/>
      <c r="CI939" s="93"/>
      <c r="CJ939" s="93"/>
      <c r="CK939" s="93"/>
      <c r="CL939" s="93"/>
      <c r="CM939" s="93"/>
      <c r="CN939" s="93"/>
      <c r="CO939" s="93"/>
      <c r="CP939" s="93"/>
      <c r="CQ939" s="93"/>
      <c r="CR939" s="93"/>
      <c r="CS939" s="93"/>
      <c r="CT939" s="93"/>
      <c r="CU939" s="93"/>
      <c r="CV939" s="93"/>
      <c r="CW939" s="93"/>
      <c r="CX939" s="93"/>
      <c r="CY939" s="93"/>
      <c r="CZ939" s="93"/>
      <c r="DA939" s="93"/>
      <c r="DB939" s="93"/>
      <c r="DC939" s="93"/>
      <c r="DD939" s="93"/>
      <c r="DE939" s="93"/>
      <c r="DF939" s="93"/>
      <c r="DG939" s="93"/>
      <c r="DH939" s="93"/>
      <c r="DI939" s="93"/>
      <c r="DJ939" s="93"/>
      <c r="DK939" s="93"/>
      <c r="DL939" s="93"/>
      <c r="DM939" s="93"/>
      <c r="DN939" s="93"/>
      <c r="DO939" s="93"/>
      <c r="DP939" s="93"/>
      <c r="DQ939" s="93"/>
      <c r="DR939" s="93"/>
      <c r="DS939" s="93"/>
      <c r="DT939" s="93"/>
      <c r="DU939" s="93"/>
      <c r="DV939" s="93"/>
      <c r="DW939" s="93"/>
      <c r="DX939" s="93"/>
      <c r="DY939" s="93"/>
      <c r="DZ939" s="93"/>
      <c r="EA939" s="93"/>
      <c r="EB939" s="93"/>
      <c r="EC939" s="93"/>
      <c r="ED939" s="93"/>
      <c r="EE939" s="93"/>
      <c r="EF939" s="93"/>
      <c r="EG939" s="93"/>
      <c r="EH939" s="93"/>
      <c r="EI939" s="93"/>
      <c r="EJ939" s="93"/>
      <c r="EK939" s="93"/>
      <c r="EL939" s="93"/>
      <c r="EM939" s="93"/>
      <c r="EN939" s="93"/>
      <c r="EO939" s="93"/>
      <c r="EP939" s="93"/>
      <c r="EQ939" s="93"/>
      <c r="ER939" s="93"/>
      <c r="ES939" s="93"/>
      <c r="ET939" s="93"/>
      <c r="EU939" s="93"/>
      <c r="EV939" s="93"/>
      <c r="EW939" s="93"/>
      <c r="EX939" s="93"/>
      <c r="EY939" s="93"/>
      <c r="EZ939" s="93"/>
      <c r="FA939" s="93"/>
      <c r="FB939" s="93"/>
      <c r="FC939" s="93"/>
      <c r="FD939" s="93"/>
      <c r="FE939" s="93"/>
      <c r="FF939" s="93"/>
    </row>
    <row r="940" spans="1:162" ht="15.75" customHeight="1">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c r="BG940" s="93"/>
      <c r="BH940" s="93"/>
      <c r="BI940" s="93"/>
      <c r="BJ940" s="93"/>
      <c r="BK940" s="93"/>
      <c r="BL940" s="93"/>
      <c r="BM940" s="93"/>
      <c r="BN940" s="93"/>
      <c r="BO940" s="93"/>
      <c r="BP940" s="93"/>
      <c r="BQ940" s="93"/>
      <c r="BR940" s="93"/>
      <c r="BS940" s="93"/>
      <c r="BT940" s="93"/>
      <c r="BU940" s="93"/>
      <c r="BV940" s="93"/>
      <c r="BW940" s="93"/>
      <c r="BX940" s="93"/>
      <c r="BY940" s="93"/>
      <c r="BZ940" s="93"/>
      <c r="CA940" s="93"/>
      <c r="CB940" s="93"/>
      <c r="CC940" s="93"/>
      <c r="CD940" s="93"/>
      <c r="CE940" s="93"/>
      <c r="CF940" s="93"/>
      <c r="CG940" s="93"/>
      <c r="CH940" s="93"/>
      <c r="CI940" s="93"/>
      <c r="CJ940" s="93"/>
      <c r="CK940" s="93"/>
      <c r="CL940" s="93"/>
      <c r="CM940" s="93"/>
      <c r="CN940" s="93"/>
      <c r="CO940" s="93"/>
      <c r="CP940" s="93"/>
      <c r="CQ940" s="93"/>
      <c r="CR940" s="93"/>
      <c r="CS940" s="93"/>
      <c r="CT940" s="93"/>
      <c r="CU940" s="93"/>
      <c r="CV940" s="93"/>
      <c r="CW940" s="93"/>
      <c r="CX940" s="93"/>
      <c r="CY940" s="93"/>
      <c r="CZ940" s="93"/>
      <c r="DA940" s="93"/>
      <c r="DB940" s="93"/>
      <c r="DC940" s="93"/>
      <c r="DD940" s="93"/>
      <c r="DE940" s="93"/>
      <c r="DF940" s="93"/>
      <c r="DG940" s="93"/>
      <c r="DH940" s="93"/>
      <c r="DI940" s="93"/>
      <c r="DJ940" s="93"/>
      <c r="DK940" s="93"/>
      <c r="DL940" s="93"/>
      <c r="DM940" s="93"/>
      <c r="DN940" s="93"/>
      <c r="DO940" s="93"/>
      <c r="DP940" s="93"/>
      <c r="DQ940" s="93"/>
      <c r="DR940" s="93"/>
      <c r="DS940" s="93"/>
      <c r="DT940" s="93"/>
      <c r="DU940" s="93"/>
      <c r="DV940" s="93"/>
      <c r="DW940" s="93"/>
      <c r="DX940" s="93"/>
      <c r="DY940" s="93"/>
      <c r="DZ940" s="93"/>
      <c r="EA940" s="93"/>
      <c r="EB940" s="93"/>
      <c r="EC940" s="93"/>
      <c r="ED940" s="93"/>
      <c r="EE940" s="93"/>
      <c r="EF940" s="93"/>
      <c r="EG940" s="93"/>
      <c r="EH940" s="93"/>
      <c r="EI940" s="93"/>
      <c r="EJ940" s="93"/>
      <c r="EK940" s="93"/>
      <c r="EL940" s="93"/>
      <c r="EM940" s="93"/>
      <c r="EN940" s="93"/>
      <c r="EO940" s="93"/>
      <c r="EP940" s="93"/>
      <c r="EQ940" s="93"/>
      <c r="ER940" s="93"/>
      <c r="ES940" s="93"/>
      <c r="ET940" s="93"/>
      <c r="EU940" s="93"/>
      <c r="EV940" s="93"/>
      <c r="EW940" s="93"/>
      <c r="EX940" s="93"/>
      <c r="EY940" s="93"/>
      <c r="EZ940" s="93"/>
      <c r="FA940" s="93"/>
      <c r="FB940" s="93"/>
      <c r="FC940" s="93"/>
      <c r="FD940" s="93"/>
      <c r="FE940" s="93"/>
      <c r="FF940" s="93"/>
    </row>
    <row r="941" spans="1:162" ht="15.75" customHeight="1">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c r="BS941" s="93"/>
      <c r="BT941" s="93"/>
      <c r="BU941" s="93"/>
      <c r="BV941" s="93"/>
      <c r="BW941" s="93"/>
      <c r="BX941" s="93"/>
      <c r="BY941" s="93"/>
      <c r="BZ941" s="93"/>
      <c r="CA941" s="93"/>
      <c r="CB941" s="93"/>
      <c r="CC941" s="93"/>
      <c r="CD941" s="93"/>
      <c r="CE941" s="93"/>
      <c r="CF941" s="93"/>
      <c r="CG941" s="93"/>
      <c r="CH941" s="93"/>
      <c r="CI941" s="93"/>
      <c r="CJ941" s="93"/>
      <c r="CK941" s="93"/>
      <c r="CL941" s="93"/>
      <c r="CM941" s="93"/>
      <c r="CN941" s="93"/>
      <c r="CO941" s="93"/>
      <c r="CP941" s="93"/>
      <c r="CQ941" s="93"/>
      <c r="CR941" s="93"/>
      <c r="CS941" s="93"/>
      <c r="CT941" s="93"/>
      <c r="CU941" s="93"/>
      <c r="CV941" s="93"/>
      <c r="CW941" s="93"/>
      <c r="CX941" s="93"/>
      <c r="CY941" s="93"/>
      <c r="CZ941" s="93"/>
      <c r="DA941" s="93"/>
      <c r="DB941" s="93"/>
      <c r="DC941" s="93"/>
      <c r="DD941" s="93"/>
      <c r="DE941" s="93"/>
      <c r="DF941" s="93"/>
      <c r="DG941" s="93"/>
      <c r="DH941" s="93"/>
      <c r="DI941" s="93"/>
      <c r="DJ941" s="93"/>
      <c r="DK941" s="93"/>
      <c r="DL941" s="93"/>
      <c r="DM941" s="93"/>
      <c r="DN941" s="93"/>
      <c r="DO941" s="93"/>
      <c r="DP941" s="93"/>
      <c r="DQ941" s="93"/>
      <c r="DR941" s="93"/>
      <c r="DS941" s="93"/>
      <c r="DT941" s="93"/>
      <c r="DU941" s="93"/>
      <c r="DV941" s="93"/>
      <c r="DW941" s="93"/>
      <c r="DX941" s="93"/>
      <c r="DY941" s="93"/>
      <c r="DZ941" s="93"/>
      <c r="EA941" s="93"/>
      <c r="EB941" s="93"/>
      <c r="EC941" s="93"/>
      <c r="ED941" s="93"/>
      <c r="EE941" s="93"/>
      <c r="EF941" s="93"/>
      <c r="EG941" s="93"/>
      <c r="EH941" s="93"/>
      <c r="EI941" s="93"/>
      <c r="EJ941" s="93"/>
      <c r="EK941" s="93"/>
      <c r="EL941" s="93"/>
      <c r="EM941" s="93"/>
      <c r="EN941" s="93"/>
      <c r="EO941" s="93"/>
      <c r="EP941" s="93"/>
      <c r="EQ941" s="93"/>
      <c r="ER941" s="93"/>
      <c r="ES941" s="93"/>
      <c r="ET941" s="93"/>
      <c r="EU941" s="93"/>
      <c r="EV941" s="93"/>
      <c r="EW941" s="93"/>
      <c r="EX941" s="93"/>
      <c r="EY941" s="93"/>
      <c r="EZ941" s="93"/>
      <c r="FA941" s="93"/>
      <c r="FB941" s="93"/>
      <c r="FC941" s="93"/>
      <c r="FD941" s="93"/>
      <c r="FE941" s="93"/>
      <c r="FF941" s="93"/>
    </row>
    <row r="942" spans="1:162" ht="15.75" customHeight="1">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c r="CC942" s="93"/>
      <c r="CD942" s="93"/>
      <c r="CE942" s="93"/>
      <c r="CF942" s="93"/>
      <c r="CG942" s="93"/>
      <c r="CH942" s="93"/>
      <c r="CI942" s="93"/>
      <c r="CJ942" s="93"/>
      <c r="CK942" s="93"/>
      <c r="CL942" s="93"/>
      <c r="CM942" s="93"/>
      <c r="CN942" s="93"/>
      <c r="CO942" s="93"/>
      <c r="CP942" s="93"/>
      <c r="CQ942" s="93"/>
      <c r="CR942" s="93"/>
      <c r="CS942" s="93"/>
      <c r="CT942" s="93"/>
      <c r="CU942" s="93"/>
      <c r="CV942" s="93"/>
      <c r="CW942" s="93"/>
      <c r="CX942" s="93"/>
      <c r="CY942" s="93"/>
      <c r="CZ942" s="93"/>
      <c r="DA942" s="93"/>
      <c r="DB942" s="93"/>
      <c r="DC942" s="93"/>
      <c r="DD942" s="93"/>
      <c r="DE942" s="93"/>
      <c r="DF942" s="93"/>
      <c r="DG942" s="93"/>
      <c r="DH942" s="93"/>
      <c r="DI942" s="93"/>
      <c r="DJ942" s="93"/>
      <c r="DK942" s="93"/>
      <c r="DL942" s="93"/>
      <c r="DM942" s="93"/>
      <c r="DN942" s="93"/>
      <c r="DO942" s="93"/>
      <c r="DP942" s="93"/>
      <c r="DQ942" s="93"/>
      <c r="DR942" s="93"/>
      <c r="DS942" s="93"/>
      <c r="DT942" s="93"/>
      <c r="DU942" s="93"/>
      <c r="DV942" s="93"/>
      <c r="DW942" s="93"/>
      <c r="DX942" s="93"/>
      <c r="DY942" s="93"/>
      <c r="DZ942" s="93"/>
      <c r="EA942" s="93"/>
      <c r="EB942" s="93"/>
      <c r="EC942" s="93"/>
      <c r="ED942" s="93"/>
      <c r="EE942" s="93"/>
      <c r="EF942" s="93"/>
      <c r="EG942" s="93"/>
      <c r="EH942" s="93"/>
      <c r="EI942" s="93"/>
      <c r="EJ942" s="93"/>
      <c r="EK942" s="93"/>
      <c r="EL942" s="93"/>
      <c r="EM942" s="93"/>
      <c r="EN942" s="93"/>
      <c r="EO942" s="93"/>
      <c r="EP942" s="93"/>
      <c r="EQ942" s="93"/>
      <c r="ER942" s="93"/>
      <c r="ES942" s="93"/>
      <c r="ET942" s="93"/>
      <c r="EU942" s="93"/>
      <c r="EV942" s="93"/>
      <c r="EW942" s="93"/>
      <c r="EX942" s="93"/>
      <c r="EY942" s="93"/>
      <c r="EZ942" s="93"/>
      <c r="FA942" s="93"/>
      <c r="FB942" s="93"/>
      <c r="FC942" s="93"/>
      <c r="FD942" s="93"/>
      <c r="FE942" s="93"/>
      <c r="FF942" s="93"/>
    </row>
    <row r="943" spans="1:162" ht="15.75" customHeight="1">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c r="BG943" s="93"/>
      <c r="BH943" s="93"/>
      <c r="BI943" s="93"/>
      <c r="BJ943" s="93"/>
      <c r="BK943" s="93"/>
      <c r="BL943" s="93"/>
      <c r="BM943" s="93"/>
      <c r="BN943" s="93"/>
      <c r="BO943" s="93"/>
      <c r="BP943" s="93"/>
      <c r="BQ943" s="93"/>
      <c r="BR943" s="93"/>
      <c r="BS943" s="93"/>
      <c r="BT943" s="93"/>
      <c r="BU943" s="93"/>
      <c r="BV943" s="93"/>
      <c r="BW943" s="93"/>
      <c r="BX943" s="93"/>
      <c r="BY943" s="93"/>
      <c r="BZ943" s="93"/>
      <c r="CA943" s="93"/>
      <c r="CB943" s="93"/>
      <c r="CC943" s="93"/>
      <c r="CD943" s="93"/>
      <c r="CE943" s="93"/>
      <c r="CF943" s="93"/>
      <c r="CG943" s="93"/>
      <c r="CH943" s="93"/>
      <c r="CI943" s="93"/>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93"/>
      <c r="EF943" s="93"/>
      <c r="EG943" s="93"/>
      <c r="EH943" s="93"/>
      <c r="EI943" s="93"/>
      <c r="EJ943" s="93"/>
      <c r="EK943" s="93"/>
      <c r="EL943" s="93"/>
      <c r="EM943" s="93"/>
      <c r="EN943" s="93"/>
      <c r="EO943" s="93"/>
      <c r="EP943" s="93"/>
      <c r="EQ943" s="93"/>
      <c r="ER943" s="93"/>
      <c r="ES943" s="93"/>
      <c r="ET943" s="93"/>
      <c r="EU943" s="93"/>
      <c r="EV943" s="93"/>
      <c r="EW943" s="93"/>
      <c r="EX943" s="93"/>
      <c r="EY943" s="93"/>
      <c r="EZ943" s="93"/>
      <c r="FA943" s="93"/>
      <c r="FB943" s="93"/>
      <c r="FC943" s="93"/>
      <c r="FD943" s="93"/>
      <c r="FE943" s="93"/>
      <c r="FF943" s="93"/>
    </row>
    <row r="944" spans="1:162" ht="15.75" customHeight="1">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c r="BG944" s="93"/>
      <c r="BH944" s="93"/>
      <c r="BI944" s="93"/>
      <c r="BJ944" s="93"/>
      <c r="BK944" s="93"/>
      <c r="BL944" s="93"/>
      <c r="BM944" s="93"/>
      <c r="BN944" s="93"/>
      <c r="BO944" s="93"/>
      <c r="BP944" s="93"/>
      <c r="BQ944" s="93"/>
      <c r="BR944" s="93"/>
      <c r="BS944" s="93"/>
      <c r="BT944" s="93"/>
      <c r="BU944" s="93"/>
      <c r="BV944" s="93"/>
      <c r="BW944" s="93"/>
      <c r="BX944" s="93"/>
      <c r="BY944" s="93"/>
      <c r="BZ944" s="93"/>
      <c r="CA944" s="93"/>
      <c r="CB944" s="93"/>
      <c r="CC944" s="93"/>
      <c r="CD944" s="93"/>
      <c r="CE944" s="93"/>
      <c r="CF944" s="93"/>
      <c r="CG944" s="93"/>
      <c r="CH944" s="93"/>
      <c r="CI944" s="93"/>
      <c r="CJ944" s="93"/>
      <c r="CK944" s="93"/>
      <c r="CL944" s="93"/>
      <c r="CM944" s="93"/>
      <c r="CN944" s="93"/>
      <c r="CO944" s="93"/>
      <c r="CP944" s="93"/>
      <c r="CQ944" s="93"/>
      <c r="CR944" s="93"/>
      <c r="CS944" s="93"/>
      <c r="CT944" s="93"/>
      <c r="CU944" s="93"/>
      <c r="CV944" s="93"/>
      <c r="CW944" s="93"/>
      <c r="CX944" s="93"/>
      <c r="CY944" s="93"/>
      <c r="CZ944" s="93"/>
      <c r="DA944" s="93"/>
      <c r="DB944" s="93"/>
      <c r="DC944" s="93"/>
      <c r="DD944" s="93"/>
      <c r="DE944" s="93"/>
      <c r="DF944" s="93"/>
      <c r="DG944" s="93"/>
      <c r="DH944" s="93"/>
      <c r="DI944" s="93"/>
      <c r="DJ944" s="93"/>
      <c r="DK944" s="93"/>
      <c r="DL944" s="93"/>
      <c r="DM944" s="93"/>
      <c r="DN944" s="93"/>
      <c r="DO944" s="93"/>
      <c r="DP944" s="93"/>
      <c r="DQ944" s="93"/>
      <c r="DR944" s="93"/>
      <c r="DS944" s="93"/>
      <c r="DT944" s="93"/>
      <c r="DU944" s="93"/>
      <c r="DV944" s="93"/>
      <c r="DW944" s="93"/>
      <c r="DX944" s="93"/>
      <c r="DY944" s="93"/>
      <c r="DZ944" s="93"/>
      <c r="EA944" s="93"/>
      <c r="EB944" s="93"/>
      <c r="EC944" s="93"/>
      <c r="ED944" s="93"/>
      <c r="EE944" s="93"/>
      <c r="EF944" s="93"/>
      <c r="EG944" s="93"/>
      <c r="EH944" s="93"/>
      <c r="EI944" s="93"/>
      <c r="EJ944" s="93"/>
      <c r="EK944" s="93"/>
      <c r="EL944" s="93"/>
      <c r="EM944" s="93"/>
      <c r="EN944" s="93"/>
      <c r="EO944" s="93"/>
      <c r="EP944" s="93"/>
      <c r="EQ944" s="93"/>
      <c r="ER944" s="93"/>
      <c r="ES944" s="93"/>
      <c r="ET944" s="93"/>
      <c r="EU944" s="93"/>
      <c r="EV944" s="93"/>
      <c r="EW944" s="93"/>
      <c r="EX944" s="93"/>
      <c r="EY944" s="93"/>
      <c r="EZ944" s="93"/>
      <c r="FA944" s="93"/>
      <c r="FB944" s="93"/>
      <c r="FC944" s="93"/>
      <c r="FD944" s="93"/>
      <c r="FE944" s="93"/>
      <c r="FF944" s="93"/>
    </row>
    <row r="945" spans="1:162" ht="15.75" customHeight="1">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c r="BG945" s="93"/>
      <c r="BH945" s="93"/>
      <c r="BI945" s="93"/>
      <c r="BJ945" s="93"/>
      <c r="BK945" s="93"/>
      <c r="BL945" s="93"/>
      <c r="BM945" s="93"/>
      <c r="BN945" s="93"/>
      <c r="BO945" s="93"/>
      <c r="BP945" s="93"/>
      <c r="BQ945" s="93"/>
      <c r="BR945" s="93"/>
      <c r="BS945" s="93"/>
      <c r="BT945" s="93"/>
      <c r="BU945" s="93"/>
      <c r="BV945" s="93"/>
      <c r="BW945" s="93"/>
      <c r="BX945" s="93"/>
      <c r="BY945" s="93"/>
      <c r="BZ945" s="93"/>
      <c r="CA945" s="93"/>
      <c r="CB945" s="93"/>
      <c r="CC945" s="93"/>
      <c r="CD945" s="93"/>
      <c r="CE945" s="93"/>
      <c r="CF945" s="93"/>
      <c r="CG945" s="93"/>
      <c r="CH945" s="93"/>
      <c r="CI945" s="93"/>
      <c r="CJ945" s="93"/>
      <c r="CK945" s="93"/>
      <c r="CL945" s="93"/>
      <c r="CM945" s="93"/>
      <c r="CN945" s="93"/>
      <c r="CO945" s="93"/>
      <c r="CP945" s="93"/>
      <c r="CQ945" s="93"/>
      <c r="CR945" s="93"/>
      <c r="CS945" s="93"/>
      <c r="CT945" s="93"/>
      <c r="CU945" s="93"/>
      <c r="CV945" s="93"/>
      <c r="CW945" s="93"/>
      <c r="CX945" s="93"/>
      <c r="CY945" s="93"/>
      <c r="CZ945" s="93"/>
      <c r="DA945" s="93"/>
      <c r="DB945" s="93"/>
      <c r="DC945" s="93"/>
      <c r="DD945" s="93"/>
      <c r="DE945" s="93"/>
      <c r="DF945" s="93"/>
      <c r="DG945" s="93"/>
      <c r="DH945" s="93"/>
      <c r="DI945" s="93"/>
      <c r="DJ945" s="93"/>
      <c r="DK945" s="93"/>
      <c r="DL945" s="93"/>
      <c r="DM945" s="93"/>
      <c r="DN945" s="93"/>
      <c r="DO945" s="93"/>
      <c r="DP945" s="93"/>
      <c r="DQ945" s="93"/>
      <c r="DR945" s="93"/>
      <c r="DS945" s="93"/>
      <c r="DT945" s="93"/>
      <c r="DU945" s="93"/>
      <c r="DV945" s="93"/>
      <c r="DW945" s="93"/>
      <c r="DX945" s="93"/>
      <c r="DY945" s="93"/>
      <c r="DZ945" s="93"/>
      <c r="EA945" s="93"/>
      <c r="EB945" s="93"/>
      <c r="EC945" s="93"/>
      <c r="ED945" s="93"/>
      <c r="EE945" s="93"/>
      <c r="EF945" s="93"/>
      <c r="EG945" s="93"/>
      <c r="EH945" s="93"/>
      <c r="EI945" s="93"/>
      <c r="EJ945" s="93"/>
      <c r="EK945" s="93"/>
      <c r="EL945" s="93"/>
      <c r="EM945" s="93"/>
      <c r="EN945" s="93"/>
      <c r="EO945" s="93"/>
      <c r="EP945" s="93"/>
      <c r="EQ945" s="93"/>
      <c r="ER945" s="93"/>
      <c r="ES945" s="93"/>
      <c r="ET945" s="93"/>
      <c r="EU945" s="93"/>
      <c r="EV945" s="93"/>
      <c r="EW945" s="93"/>
      <c r="EX945" s="93"/>
      <c r="EY945" s="93"/>
      <c r="EZ945" s="93"/>
      <c r="FA945" s="93"/>
      <c r="FB945" s="93"/>
      <c r="FC945" s="93"/>
      <c r="FD945" s="93"/>
      <c r="FE945" s="93"/>
      <c r="FF945" s="93"/>
    </row>
    <row r="946" spans="1:162" ht="15.75" customHeight="1">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c r="BG946" s="93"/>
      <c r="BH946" s="93"/>
      <c r="BI946" s="93"/>
      <c r="BJ946" s="93"/>
      <c r="BK946" s="93"/>
      <c r="BL946" s="93"/>
      <c r="BM946" s="93"/>
      <c r="BN946" s="93"/>
      <c r="BO946" s="93"/>
      <c r="BP946" s="93"/>
      <c r="BQ946" s="93"/>
      <c r="BR946" s="93"/>
      <c r="BS946" s="93"/>
      <c r="BT946" s="93"/>
      <c r="BU946" s="93"/>
      <c r="BV946" s="93"/>
      <c r="BW946" s="93"/>
      <c r="BX946" s="93"/>
      <c r="BY946" s="93"/>
      <c r="BZ946" s="93"/>
      <c r="CA946" s="93"/>
      <c r="CB946" s="93"/>
      <c r="CC946" s="93"/>
      <c r="CD946" s="93"/>
      <c r="CE946" s="93"/>
      <c r="CF946" s="93"/>
      <c r="CG946" s="93"/>
      <c r="CH946" s="93"/>
      <c r="CI946" s="93"/>
      <c r="CJ946" s="93"/>
      <c r="CK946" s="93"/>
      <c r="CL946" s="93"/>
      <c r="CM946" s="93"/>
      <c r="CN946" s="93"/>
      <c r="CO946" s="93"/>
      <c r="CP946" s="93"/>
      <c r="CQ946" s="93"/>
      <c r="CR946" s="93"/>
      <c r="CS946" s="93"/>
      <c r="CT946" s="93"/>
      <c r="CU946" s="93"/>
      <c r="CV946" s="93"/>
      <c r="CW946" s="93"/>
      <c r="CX946" s="93"/>
      <c r="CY946" s="93"/>
      <c r="CZ946" s="93"/>
      <c r="DA946" s="93"/>
      <c r="DB946" s="93"/>
      <c r="DC946" s="93"/>
      <c r="DD946" s="93"/>
      <c r="DE946" s="93"/>
      <c r="DF946" s="93"/>
      <c r="DG946" s="93"/>
      <c r="DH946" s="93"/>
      <c r="DI946" s="93"/>
      <c r="DJ946" s="93"/>
      <c r="DK946" s="93"/>
      <c r="DL946" s="93"/>
      <c r="DM946" s="93"/>
      <c r="DN946" s="93"/>
      <c r="DO946" s="93"/>
      <c r="DP946" s="93"/>
      <c r="DQ946" s="93"/>
      <c r="DR946" s="93"/>
      <c r="DS946" s="93"/>
      <c r="DT946" s="93"/>
      <c r="DU946" s="93"/>
      <c r="DV946" s="93"/>
      <c r="DW946" s="93"/>
      <c r="DX946" s="93"/>
      <c r="DY946" s="93"/>
      <c r="DZ946" s="93"/>
      <c r="EA946" s="93"/>
      <c r="EB946" s="93"/>
      <c r="EC946" s="93"/>
      <c r="ED946" s="93"/>
      <c r="EE946" s="93"/>
      <c r="EF946" s="93"/>
      <c r="EG946" s="93"/>
      <c r="EH946" s="93"/>
      <c r="EI946" s="93"/>
      <c r="EJ946" s="93"/>
      <c r="EK946" s="93"/>
      <c r="EL946" s="93"/>
      <c r="EM946" s="93"/>
      <c r="EN946" s="93"/>
      <c r="EO946" s="93"/>
      <c r="EP946" s="93"/>
      <c r="EQ946" s="93"/>
      <c r="ER946" s="93"/>
      <c r="ES946" s="93"/>
      <c r="ET946" s="93"/>
      <c r="EU946" s="93"/>
      <c r="EV946" s="93"/>
      <c r="EW946" s="93"/>
      <c r="EX946" s="93"/>
      <c r="EY946" s="93"/>
      <c r="EZ946" s="93"/>
      <c r="FA946" s="93"/>
      <c r="FB946" s="93"/>
      <c r="FC946" s="93"/>
      <c r="FD946" s="93"/>
      <c r="FE946" s="93"/>
      <c r="FF946" s="93"/>
    </row>
    <row r="947" spans="1:162" ht="15.75" customHeight="1">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c r="BG947" s="93"/>
      <c r="BH947" s="93"/>
      <c r="BI947" s="93"/>
      <c r="BJ947" s="93"/>
      <c r="BK947" s="93"/>
      <c r="BL947" s="93"/>
      <c r="BM947" s="93"/>
      <c r="BN947" s="93"/>
      <c r="BO947" s="93"/>
      <c r="BP947" s="93"/>
      <c r="BQ947" s="93"/>
      <c r="BR947" s="93"/>
      <c r="BS947" s="93"/>
      <c r="BT947" s="93"/>
      <c r="BU947" s="93"/>
      <c r="BV947" s="93"/>
      <c r="BW947" s="93"/>
      <c r="BX947" s="93"/>
      <c r="BY947" s="93"/>
      <c r="BZ947" s="93"/>
      <c r="CA947" s="93"/>
      <c r="CB947" s="93"/>
      <c r="CC947" s="93"/>
      <c r="CD947" s="93"/>
      <c r="CE947" s="93"/>
      <c r="CF947" s="93"/>
      <c r="CG947" s="93"/>
      <c r="CH947" s="93"/>
      <c r="CI947" s="93"/>
      <c r="CJ947" s="93"/>
      <c r="CK947" s="93"/>
      <c r="CL947" s="93"/>
      <c r="CM947" s="93"/>
      <c r="CN947" s="93"/>
      <c r="CO947" s="93"/>
      <c r="CP947" s="93"/>
      <c r="CQ947" s="93"/>
      <c r="CR947" s="93"/>
      <c r="CS947" s="93"/>
      <c r="CT947" s="93"/>
      <c r="CU947" s="93"/>
      <c r="CV947" s="93"/>
      <c r="CW947" s="93"/>
      <c r="CX947" s="93"/>
      <c r="CY947" s="93"/>
      <c r="CZ947" s="93"/>
      <c r="DA947" s="93"/>
      <c r="DB947" s="93"/>
      <c r="DC947" s="93"/>
      <c r="DD947" s="93"/>
      <c r="DE947" s="93"/>
      <c r="DF947" s="93"/>
      <c r="DG947" s="93"/>
      <c r="DH947" s="93"/>
      <c r="DI947" s="93"/>
      <c r="DJ947" s="93"/>
      <c r="DK947" s="93"/>
      <c r="DL947" s="93"/>
      <c r="DM947" s="93"/>
      <c r="DN947" s="93"/>
      <c r="DO947" s="93"/>
      <c r="DP947" s="93"/>
      <c r="DQ947" s="93"/>
      <c r="DR947" s="93"/>
      <c r="DS947" s="93"/>
      <c r="DT947" s="93"/>
      <c r="DU947" s="93"/>
      <c r="DV947" s="93"/>
      <c r="DW947" s="93"/>
      <c r="DX947" s="93"/>
      <c r="DY947" s="93"/>
      <c r="DZ947" s="93"/>
      <c r="EA947" s="93"/>
      <c r="EB947" s="93"/>
      <c r="EC947" s="93"/>
      <c r="ED947" s="93"/>
      <c r="EE947" s="93"/>
      <c r="EF947" s="93"/>
      <c r="EG947" s="93"/>
      <c r="EH947" s="93"/>
      <c r="EI947" s="93"/>
      <c r="EJ947" s="93"/>
      <c r="EK947" s="93"/>
      <c r="EL947" s="93"/>
      <c r="EM947" s="93"/>
      <c r="EN947" s="93"/>
      <c r="EO947" s="93"/>
      <c r="EP947" s="93"/>
      <c r="EQ947" s="93"/>
      <c r="ER947" s="93"/>
      <c r="ES947" s="93"/>
      <c r="ET947" s="93"/>
      <c r="EU947" s="93"/>
      <c r="EV947" s="93"/>
      <c r="EW947" s="93"/>
      <c r="EX947" s="93"/>
      <c r="EY947" s="93"/>
      <c r="EZ947" s="93"/>
      <c r="FA947" s="93"/>
      <c r="FB947" s="93"/>
      <c r="FC947" s="93"/>
      <c r="FD947" s="93"/>
      <c r="FE947" s="93"/>
      <c r="FF947" s="93"/>
    </row>
    <row r="948" spans="1:162" ht="15.75" customHeight="1">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c r="BG948" s="93"/>
      <c r="BH948" s="93"/>
      <c r="BI948" s="93"/>
      <c r="BJ948" s="93"/>
      <c r="BK948" s="93"/>
      <c r="BL948" s="93"/>
      <c r="BM948" s="93"/>
      <c r="BN948" s="93"/>
      <c r="BO948" s="93"/>
      <c r="BP948" s="93"/>
      <c r="BQ948" s="93"/>
      <c r="BR948" s="93"/>
      <c r="BS948" s="93"/>
      <c r="BT948" s="93"/>
      <c r="BU948" s="93"/>
      <c r="BV948" s="93"/>
      <c r="BW948" s="93"/>
      <c r="BX948" s="93"/>
      <c r="BY948" s="93"/>
      <c r="BZ948" s="93"/>
      <c r="CA948" s="93"/>
      <c r="CB948" s="93"/>
      <c r="CC948" s="93"/>
      <c r="CD948" s="93"/>
      <c r="CE948" s="93"/>
      <c r="CF948" s="93"/>
      <c r="CG948" s="93"/>
      <c r="CH948" s="93"/>
      <c r="CI948" s="93"/>
      <c r="CJ948" s="93"/>
      <c r="CK948" s="93"/>
      <c r="CL948" s="93"/>
      <c r="CM948" s="93"/>
      <c r="CN948" s="93"/>
      <c r="CO948" s="93"/>
      <c r="CP948" s="93"/>
      <c r="CQ948" s="93"/>
      <c r="CR948" s="93"/>
      <c r="CS948" s="93"/>
      <c r="CT948" s="93"/>
      <c r="CU948" s="93"/>
      <c r="CV948" s="93"/>
      <c r="CW948" s="93"/>
      <c r="CX948" s="93"/>
      <c r="CY948" s="93"/>
      <c r="CZ948" s="93"/>
      <c r="DA948" s="93"/>
      <c r="DB948" s="93"/>
      <c r="DC948" s="93"/>
      <c r="DD948" s="93"/>
      <c r="DE948" s="93"/>
      <c r="DF948" s="93"/>
      <c r="DG948" s="93"/>
      <c r="DH948" s="93"/>
      <c r="DI948" s="93"/>
      <c r="DJ948" s="93"/>
      <c r="DK948" s="93"/>
      <c r="DL948" s="93"/>
      <c r="DM948" s="93"/>
      <c r="DN948" s="93"/>
      <c r="DO948" s="93"/>
      <c r="DP948" s="93"/>
      <c r="DQ948" s="93"/>
      <c r="DR948" s="93"/>
      <c r="DS948" s="93"/>
      <c r="DT948" s="93"/>
      <c r="DU948" s="93"/>
      <c r="DV948" s="93"/>
      <c r="DW948" s="93"/>
      <c r="DX948" s="93"/>
      <c r="DY948" s="93"/>
      <c r="DZ948" s="93"/>
      <c r="EA948" s="93"/>
      <c r="EB948" s="93"/>
      <c r="EC948" s="93"/>
      <c r="ED948" s="93"/>
      <c r="EE948" s="93"/>
      <c r="EF948" s="93"/>
      <c r="EG948" s="93"/>
      <c r="EH948" s="93"/>
      <c r="EI948" s="93"/>
      <c r="EJ948" s="93"/>
      <c r="EK948" s="93"/>
      <c r="EL948" s="93"/>
      <c r="EM948" s="93"/>
      <c r="EN948" s="93"/>
      <c r="EO948" s="93"/>
      <c r="EP948" s="93"/>
      <c r="EQ948" s="93"/>
      <c r="ER948" s="93"/>
      <c r="ES948" s="93"/>
      <c r="ET948" s="93"/>
      <c r="EU948" s="93"/>
      <c r="EV948" s="93"/>
      <c r="EW948" s="93"/>
      <c r="EX948" s="93"/>
      <c r="EY948" s="93"/>
      <c r="EZ948" s="93"/>
      <c r="FA948" s="93"/>
      <c r="FB948" s="93"/>
      <c r="FC948" s="93"/>
      <c r="FD948" s="93"/>
      <c r="FE948" s="93"/>
      <c r="FF948" s="93"/>
    </row>
    <row r="949" spans="1:162" ht="15.75" customHeight="1">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c r="BS949" s="93"/>
      <c r="BT949" s="93"/>
      <c r="BU949" s="93"/>
      <c r="BV949" s="93"/>
      <c r="BW949" s="93"/>
      <c r="BX949" s="93"/>
      <c r="BY949" s="93"/>
      <c r="BZ949" s="93"/>
      <c r="CA949" s="93"/>
      <c r="CB949" s="93"/>
      <c r="CC949" s="93"/>
      <c r="CD949" s="93"/>
      <c r="CE949" s="93"/>
      <c r="CF949" s="93"/>
      <c r="CG949" s="93"/>
      <c r="CH949" s="93"/>
      <c r="CI949" s="93"/>
      <c r="CJ949" s="93"/>
      <c r="CK949" s="93"/>
      <c r="CL949" s="93"/>
      <c r="CM949" s="93"/>
      <c r="CN949" s="93"/>
      <c r="CO949" s="93"/>
      <c r="CP949" s="93"/>
      <c r="CQ949" s="93"/>
      <c r="CR949" s="93"/>
      <c r="CS949" s="93"/>
      <c r="CT949" s="93"/>
      <c r="CU949" s="93"/>
      <c r="CV949" s="93"/>
      <c r="CW949" s="93"/>
      <c r="CX949" s="93"/>
      <c r="CY949" s="93"/>
      <c r="CZ949" s="93"/>
      <c r="DA949" s="93"/>
      <c r="DB949" s="93"/>
      <c r="DC949" s="93"/>
      <c r="DD949" s="93"/>
      <c r="DE949" s="93"/>
      <c r="DF949" s="93"/>
      <c r="DG949" s="93"/>
      <c r="DH949" s="93"/>
      <c r="DI949" s="93"/>
      <c r="DJ949" s="93"/>
      <c r="DK949" s="93"/>
      <c r="DL949" s="93"/>
      <c r="DM949" s="93"/>
      <c r="DN949" s="93"/>
      <c r="DO949" s="93"/>
      <c r="DP949" s="93"/>
      <c r="DQ949" s="93"/>
      <c r="DR949" s="93"/>
      <c r="DS949" s="93"/>
      <c r="DT949" s="93"/>
      <c r="DU949" s="93"/>
      <c r="DV949" s="93"/>
      <c r="DW949" s="93"/>
      <c r="DX949" s="93"/>
      <c r="DY949" s="93"/>
      <c r="DZ949" s="93"/>
      <c r="EA949" s="93"/>
      <c r="EB949" s="93"/>
      <c r="EC949" s="93"/>
      <c r="ED949" s="93"/>
      <c r="EE949" s="93"/>
      <c r="EF949" s="93"/>
      <c r="EG949" s="93"/>
      <c r="EH949" s="93"/>
      <c r="EI949" s="93"/>
      <c r="EJ949" s="93"/>
      <c r="EK949" s="93"/>
      <c r="EL949" s="93"/>
      <c r="EM949" s="93"/>
      <c r="EN949" s="93"/>
      <c r="EO949" s="93"/>
      <c r="EP949" s="93"/>
      <c r="EQ949" s="93"/>
      <c r="ER949" s="93"/>
      <c r="ES949" s="93"/>
      <c r="ET949" s="93"/>
      <c r="EU949" s="93"/>
      <c r="EV949" s="93"/>
      <c r="EW949" s="93"/>
      <c r="EX949" s="93"/>
      <c r="EY949" s="93"/>
      <c r="EZ949" s="93"/>
      <c r="FA949" s="93"/>
      <c r="FB949" s="93"/>
      <c r="FC949" s="93"/>
      <c r="FD949" s="93"/>
      <c r="FE949" s="93"/>
      <c r="FF949" s="93"/>
    </row>
    <row r="950" spans="1:162" ht="15.75" customHeight="1">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c r="BG950" s="93"/>
      <c r="BH950" s="93"/>
      <c r="BI950" s="93"/>
      <c r="BJ950" s="93"/>
      <c r="BK950" s="93"/>
      <c r="BL950" s="93"/>
      <c r="BM950" s="93"/>
      <c r="BN950" s="93"/>
      <c r="BO950" s="93"/>
      <c r="BP950" s="93"/>
      <c r="BQ950" s="93"/>
      <c r="BR950" s="93"/>
      <c r="BS950" s="93"/>
      <c r="BT950" s="93"/>
      <c r="BU950" s="93"/>
      <c r="BV950" s="93"/>
      <c r="BW950" s="93"/>
      <c r="BX950" s="93"/>
      <c r="BY950" s="93"/>
      <c r="BZ950" s="93"/>
      <c r="CA950" s="93"/>
      <c r="CB950" s="93"/>
      <c r="CC950" s="93"/>
      <c r="CD950" s="93"/>
      <c r="CE950" s="93"/>
      <c r="CF950" s="93"/>
      <c r="CG950" s="93"/>
      <c r="CH950" s="93"/>
      <c r="CI950" s="93"/>
      <c r="CJ950" s="93"/>
      <c r="CK950" s="93"/>
      <c r="CL950" s="93"/>
      <c r="CM950" s="93"/>
      <c r="CN950" s="93"/>
      <c r="CO950" s="93"/>
      <c r="CP950" s="93"/>
      <c r="CQ950" s="93"/>
      <c r="CR950" s="93"/>
      <c r="CS950" s="93"/>
      <c r="CT950" s="93"/>
      <c r="CU950" s="93"/>
      <c r="CV950" s="93"/>
      <c r="CW950" s="93"/>
      <c r="CX950" s="93"/>
      <c r="CY950" s="93"/>
      <c r="CZ950" s="93"/>
      <c r="DA950" s="93"/>
      <c r="DB950" s="93"/>
      <c r="DC950" s="93"/>
      <c r="DD950" s="93"/>
      <c r="DE950" s="93"/>
      <c r="DF950" s="93"/>
      <c r="DG950" s="93"/>
      <c r="DH950" s="93"/>
      <c r="DI950" s="93"/>
      <c r="DJ950" s="93"/>
      <c r="DK950" s="93"/>
      <c r="DL950" s="93"/>
      <c r="DM950" s="93"/>
      <c r="DN950" s="93"/>
      <c r="DO950" s="93"/>
      <c r="DP950" s="93"/>
      <c r="DQ950" s="93"/>
      <c r="DR950" s="93"/>
      <c r="DS950" s="93"/>
      <c r="DT950" s="93"/>
      <c r="DU950" s="93"/>
      <c r="DV950" s="93"/>
      <c r="DW950" s="93"/>
      <c r="DX950" s="93"/>
      <c r="DY950" s="93"/>
      <c r="DZ950" s="93"/>
      <c r="EA950" s="93"/>
      <c r="EB950" s="93"/>
      <c r="EC950" s="93"/>
      <c r="ED950" s="93"/>
      <c r="EE950" s="93"/>
      <c r="EF950" s="93"/>
      <c r="EG950" s="93"/>
      <c r="EH950" s="93"/>
      <c r="EI950" s="93"/>
      <c r="EJ950" s="93"/>
      <c r="EK950" s="93"/>
      <c r="EL950" s="93"/>
      <c r="EM950" s="93"/>
      <c r="EN950" s="93"/>
      <c r="EO950" s="93"/>
      <c r="EP950" s="93"/>
      <c r="EQ950" s="93"/>
      <c r="ER950" s="93"/>
      <c r="ES950" s="93"/>
      <c r="ET950" s="93"/>
      <c r="EU950" s="93"/>
      <c r="EV950" s="93"/>
      <c r="EW950" s="93"/>
      <c r="EX950" s="93"/>
      <c r="EY950" s="93"/>
      <c r="EZ950" s="93"/>
      <c r="FA950" s="93"/>
      <c r="FB950" s="93"/>
      <c r="FC950" s="93"/>
      <c r="FD950" s="93"/>
      <c r="FE950" s="93"/>
      <c r="FF950" s="93"/>
    </row>
    <row r="951" spans="1:162" ht="15.75" customHeight="1">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93"/>
      <c r="BO951" s="93"/>
      <c r="BP951" s="93"/>
      <c r="BQ951" s="93"/>
      <c r="BR951" s="93"/>
      <c r="BS951" s="93"/>
      <c r="BT951" s="93"/>
      <c r="BU951" s="93"/>
      <c r="BV951" s="93"/>
      <c r="BW951" s="93"/>
      <c r="BX951" s="93"/>
      <c r="BY951" s="93"/>
      <c r="BZ951" s="93"/>
      <c r="CA951" s="93"/>
      <c r="CB951" s="93"/>
      <c r="CC951" s="93"/>
      <c r="CD951" s="93"/>
      <c r="CE951" s="93"/>
      <c r="CF951" s="93"/>
      <c r="CG951" s="93"/>
      <c r="CH951" s="93"/>
      <c r="CI951" s="93"/>
      <c r="CJ951" s="93"/>
      <c r="CK951" s="93"/>
      <c r="CL951" s="93"/>
      <c r="CM951" s="93"/>
      <c r="CN951" s="93"/>
      <c r="CO951" s="93"/>
      <c r="CP951" s="93"/>
      <c r="CQ951" s="93"/>
      <c r="CR951" s="93"/>
      <c r="CS951" s="93"/>
      <c r="CT951" s="93"/>
      <c r="CU951" s="93"/>
      <c r="CV951" s="93"/>
      <c r="CW951" s="93"/>
      <c r="CX951" s="93"/>
      <c r="CY951" s="93"/>
      <c r="CZ951" s="93"/>
      <c r="DA951" s="93"/>
      <c r="DB951" s="93"/>
      <c r="DC951" s="93"/>
      <c r="DD951" s="93"/>
      <c r="DE951" s="93"/>
      <c r="DF951" s="93"/>
      <c r="DG951" s="93"/>
      <c r="DH951" s="93"/>
      <c r="DI951" s="93"/>
      <c r="DJ951" s="93"/>
      <c r="DK951" s="93"/>
      <c r="DL951" s="93"/>
      <c r="DM951" s="93"/>
      <c r="DN951" s="93"/>
      <c r="DO951" s="93"/>
      <c r="DP951" s="93"/>
      <c r="DQ951" s="93"/>
      <c r="DR951" s="93"/>
      <c r="DS951" s="93"/>
      <c r="DT951" s="93"/>
      <c r="DU951" s="93"/>
      <c r="DV951" s="93"/>
      <c r="DW951" s="93"/>
      <c r="DX951" s="93"/>
      <c r="DY951" s="93"/>
      <c r="DZ951" s="93"/>
      <c r="EA951" s="93"/>
      <c r="EB951" s="93"/>
      <c r="EC951" s="93"/>
      <c r="ED951" s="93"/>
      <c r="EE951" s="93"/>
      <c r="EF951" s="93"/>
      <c r="EG951" s="93"/>
      <c r="EH951" s="93"/>
      <c r="EI951" s="93"/>
      <c r="EJ951" s="93"/>
      <c r="EK951" s="93"/>
      <c r="EL951" s="93"/>
      <c r="EM951" s="93"/>
      <c r="EN951" s="93"/>
      <c r="EO951" s="93"/>
      <c r="EP951" s="93"/>
      <c r="EQ951" s="93"/>
      <c r="ER951" s="93"/>
      <c r="ES951" s="93"/>
      <c r="ET951" s="93"/>
      <c r="EU951" s="93"/>
      <c r="EV951" s="93"/>
      <c r="EW951" s="93"/>
      <c r="EX951" s="93"/>
      <c r="EY951" s="93"/>
      <c r="EZ951" s="93"/>
      <c r="FA951" s="93"/>
      <c r="FB951" s="93"/>
      <c r="FC951" s="93"/>
      <c r="FD951" s="93"/>
      <c r="FE951" s="93"/>
      <c r="FF951" s="93"/>
    </row>
    <row r="952" spans="1:162" ht="15.75" customHeight="1">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3"/>
      <c r="CD952" s="93"/>
      <c r="CE952" s="93"/>
      <c r="CF952" s="93"/>
      <c r="CG952" s="93"/>
      <c r="CH952" s="93"/>
      <c r="CI952" s="93"/>
      <c r="CJ952" s="93"/>
      <c r="CK952" s="93"/>
      <c r="CL952" s="93"/>
      <c r="CM952" s="93"/>
      <c r="CN952" s="93"/>
      <c r="CO952" s="93"/>
      <c r="CP952" s="93"/>
      <c r="CQ952" s="93"/>
      <c r="CR952" s="93"/>
      <c r="CS952" s="93"/>
      <c r="CT952" s="93"/>
      <c r="CU952" s="93"/>
      <c r="CV952" s="93"/>
      <c r="CW952" s="93"/>
      <c r="CX952" s="93"/>
      <c r="CY952" s="93"/>
      <c r="CZ952" s="93"/>
      <c r="DA952" s="93"/>
      <c r="DB952" s="93"/>
      <c r="DC952" s="93"/>
      <c r="DD952" s="93"/>
      <c r="DE952" s="93"/>
      <c r="DF952" s="93"/>
      <c r="DG952" s="93"/>
      <c r="DH952" s="93"/>
      <c r="DI952" s="93"/>
      <c r="DJ952" s="93"/>
      <c r="DK952" s="93"/>
      <c r="DL952" s="93"/>
      <c r="DM952" s="93"/>
      <c r="DN952" s="93"/>
      <c r="DO952" s="93"/>
      <c r="DP952" s="93"/>
      <c r="DQ952" s="93"/>
      <c r="DR952" s="93"/>
      <c r="DS952" s="93"/>
      <c r="DT952" s="93"/>
      <c r="DU952" s="93"/>
      <c r="DV952" s="93"/>
      <c r="DW952" s="93"/>
      <c r="DX952" s="93"/>
      <c r="DY952" s="93"/>
      <c r="DZ952" s="93"/>
      <c r="EA952" s="93"/>
      <c r="EB952" s="93"/>
      <c r="EC952" s="93"/>
      <c r="ED952" s="93"/>
      <c r="EE952" s="93"/>
      <c r="EF952" s="93"/>
      <c r="EG952" s="93"/>
      <c r="EH952" s="93"/>
      <c r="EI952" s="93"/>
      <c r="EJ952" s="93"/>
      <c r="EK952" s="93"/>
      <c r="EL952" s="93"/>
      <c r="EM952" s="93"/>
      <c r="EN952" s="93"/>
      <c r="EO952" s="93"/>
      <c r="EP952" s="93"/>
      <c r="EQ952" s="93"/>
      <c r="ER952" s="93"/>
      <c r="ES952" s="93"/>
      <c r="ET952" s="93"/>
      <c r="EU952" s="93"/>
      <c r="EV952" s="93"/>
      <c r="EW952" s="93"/>
      <c r="EX952" s="93"/>
      <c r="EY952" s="93"/>
      <c r="EZ952" s="93"/>
      <c r="FA952" s="93"/>
      <c r="FB952" s="93"/>
      <c r="FC952" s="93"/>
      <c r="FD952" s="93"/>
      <c r="FE952" s="93"/>
      <c r="FF952" s="93"/>
    </row>
    <row r="953" spans="1:162" ht="15.75" customHeight="1">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93"/>
      <c r="BO953" s="93"/>
      <c r="BP953" s="93"/>
      <c r="BQ953" s="93"/>
      <c r="BR953" s="93"/>
      <c r="BS953" s="93"/>
      <c r="BT953" s="93"/>
      <c r="BU953" s="93"/>
      <c r="BV953" s="93"/>
      <c r="BW953" s="93"/>
      <c r="BX953" s="93"/>
      <c r="BY953" s="93"/>
      <c r="BZ953" s="93"/>
      <c r="CA953" s="93"/>
      <c r="CB953" s="93"/>
      <c r="CC953" s="93"/>
      <c r="CD953" s="93"/>
      <c r="CE953" s="93"/>
      <c r="CF953" s="93"/>
      <c r="CG953" s="93"/>
      <c r="CH953" s="93"/>
      <c r="CI953" s="93"/>
      <c r="CJ953" s="93"/>
      <c r="CK953" s="93"/>
      <c r="CL953" s="93"/>
      <c r="CM953" s="93"/>
      <c r="CN953" s="93"/>
      <c r="CO953" s="93"/>
      <c r="CP953" s="93"/>
      <c r="CQ953" s="93"/>
      <c r="CR953" s="93"/>
      <c r="CS953" s="93"/>
      <c r="CT953" s="93"/>
      <c r="CU953" s="93"/>
      <c r="CV953" s="93"/>
      <c r="CW953" s="93"/>
      <c r="CX953" s="93"/>
      <c r="CY953" s="93"/>
      <c r="CZ953" s="93"/>
      <c r="DA953" s="93"/>
      <c r="DB953" s="93"/>
      <c r="DC953" s="93"/>
      <c r="DD953" s="93"/>
      <c r="DE953" s="93"/>
      <c r="DF953" s="93"/>
      <c r="DG953" s="93"/>
      <c r="DH953" s="93"/>
      <c r="DI953" s="93"/>
      <c r="DJ953" s="93"/>
      <c r="DK953" s="93"/>
      <c r="DL953" s="93"/>
      <c r="DM953" s="93"/>
      <c r="DN953" s="93"/>
      <c r="DO953" s="93"/>
      <c r="DP953" s="93"/>
      <c r="DQ953" s="93"/>
      <c r="DR953" s="93"/>
      <c r="DS953" s="93"/>
      <c r="DT953" s="93"/>
      <c r="DU953" s="93"/>
      <c r="DV953" s="93"/>
      <c r="DW953" s="93"/>
      <c r="DX953" s="93"/>
      <c r="DY953" s="93"/>
      <c r="DZ953" s="93"/>
      <c r="EA953" s="93"/>
      <c r="EB953" s="93"/>
      <c r="EC953" s="93"/>
      <c r="ED953" s="93"/>
      <c r="EE953" s="93"/>
      <c r="EF953" s="93"/>
      <c r="EG953" s="93"/>
      <c r="EH953" s="93"/>
      <c r="EI953" s="93"/>
      <c r="EJ953" s="93"/>
      <c r="EK953" s="93"/>
      <c r="EL953" s="93"/>
      <c r="EM953" s="93"/>
      <c r="EN953" s="93"/>
      <c r="EO953" s="93"/>
      <c r="EP953" s="93"/>
      <c r="EQ953" s="93"/>
      <c r="ER953" s="93"/>
      <c r="ES953" s="93"/>
      <c r="ET953" s="93"/>
      <c r="EU953" s="93"/>
      <c r="EV953" s="93"/>
      <c r="EW953" s="93"/>
      <c r="EX953" s="93"/>
      <c r="EY953" s="93"/>
      <c r="EZ953" s="93"/>
      <c r="FA953" s="93"/>
      <c r="FB953" s="93"/>
      <c r="FC953" s="93"/>
      <c r="FD953" s="93"/>
      <c r="FE953" s="93"/>
      <c r="FF953" s="93"/>
    </row>
    <row r="954" spans="1:162" ht="15.75" customHeight="1">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93"/>
      <c r="BO954" s="93"/>
      <c r="BP954" s="93"/>
      <c r="BQ954" s="93"/>
      <c r="BR954" s="93"/>
      <c r="BS954" s="93"/>
      <c r="BT954" s="93"/>
      <c r="BU954" s="93"/>
      <c r="BV954" s="93"/>
      <c r="BW954" s="93"/>
      <c r="BX954" s="93"/>
      <c r="BY954" s="93"/>
      <c r="BZ954" s="93"/>
      <c r="CA954" s="93"/>
      <c r="CB954" s="93"/>
      <c r="CC954" s="93"/>
      <c r="CD954" s="93"/>
      <c r="CE954" s="93"/>
      <c r="CF954" s="93"/>
      <c r="CG954" s="93"/>
      <c r="CH954" s="93"/>
      <c r="CI954" s="93"/>
      <c r="CJ954" s="93"/>
      <c r="CK954" s="93"/>
      <c r="CL954" s="93"/>
      <c r="CM954" s="93"/>
      <c r="CN954" s="93"/>
      <c r="CO954" s="93"/>
      <c r="CP954" s="93"/>
      <c r="CQ954" s="93"/>
      <c r="CR954" s="93"/>
      <c r="CS954" s="93"/>
      <c r="CT954" s="93"/>
      <c r="CU954" s="93"/>
      <c r="CV954" s="93"/>
      <c r="CW954" s="93"/>
      <c r="CX954" s="93"/>
      <c r="CY954" s="93"/>
      <c r="CZ954" s="93"/>
      <c r="DA954" s="93"/>
      <c r="DB954" s="93"/>
      <c r="DC954" s="93"/>
      <c r="DD954" s="93"/>
      <c r="DE954" s="93"/>
      <c r="DF954" s="93"/>
      <c r="DG954" s="93"/>
      <c r="DH954" s="93"/>
      <c r="DI954" s="93"/>
      <c r="DJ954" s="93"/>
      <c r="DK954" s="93"/>
      <c r="DL954" s="93"/>
      <c r="DM954" s="93"/>
      <c r="DN954" s="93"/>
      <c r="DO954" s="93"/>
      <c r="DP954" s="93"/>
      <c r="DQ954" s="93"/>
      <c r="DR954" s="93"/>
      <c r="DS954" s="93"/>
      <c r="DT954" s="93"/>
      <c r="DU954" s="93"/>
      <c r="DV954" s="93"/>
      <c r="DW954" s="93"/>
      <c r="DX954" s="93"/>
      <c r="DY954" s="93"/>
      <c r="DZ954" s="93"/>
      <c r="EA954" s="93"/>
      <c r="EB954" s="93"/>
      <c r="EC954" s="93"/>
      <c r="ED954" s="93"/>
      <c r="EE954" s="93"/>
      <c r="EF954" s="93"/>
      <c r="EG954" s="93"/>
      <c r="EH954" s="93"/>
      <c r="EI954" s="93"/>
      <c r="EJ954" s="93"/>
      <c r="EK954" s="93"/>
      <c r="EL954" s="93"/>
      <c r="EM954" s="93"/>
      <c r="EN954" s="93"/>
      <c r="EO954" s="93"/>
      <c r="EP954" s="93"/>
      <c r="EQ954" s="93"/>
      <c r="ER954" s="93"/>
      <c r="ES954" s="93"/>
      <c r="ET954" s="93"/>
      <c r="EU954" s="93"/>
      <c r="EV954" s="93"/>
      <c r="EW954" s="93"/>
      <c r="EX954" s="93"/>
      <c r="EY954" s="93"/>
      <c r="EZ954" s="93"/>
      <c r="FA954" s="93"/>
      <c r="FB954" s="93"/>
      <c r="FC954" s="93"/>
      <c r="FD954" s="93"/>
      <c r="FE954" s="93"/>
      <c r="FF954" s="93"/>
    </row>
    <row r="955" spans="1:162" ht="15.75" customHeight="1">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row>
    <row r="956" spans="1:162" ht="15.75" customHeight="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c r="CW956" s="93"/>
      <c r="CX956" s="93"/>
      <c r="CY956" s="93"/>
      <c r="CZ956" s="93"/>
      <c r="DA956" s="93"/>
      <c r="DB956" s="93"/>
      <c r="DC956" s="93"/>
      <c r="DD956" s="93"/>
      <c r="DE956" s="93"/>
      <c r="DF956" s="93"/>
      <c r="DG956" s="93"/>
      <c r="DH956" s="93"/>
      <c r="DI956" s="93"/>
      <c r="DJ956" s="93"/>
      <c r="DK956" s="93"/>
      <c r="DL956" s="93"/>
      <c r="DM956" s="93"/>
      <c r="DN956" s="93"/>
      <c r="DO956" s="93"/>
      <c r="DP956" s="93"/>
      <c r="DQ956" s="93"/>
      <c r="DR956" s="93"/>
      <c r="DS956" s="93"/>
      <c r="DT956" s="93"/>
      <c r="DU956" s="93"/>
      <c r="DV956" s="93"/>
      <c r="DW956" s="93"/>
      <c r="DX956" s="93"/>
      <c r="DY956" s="93"/>
      <c r="DZ956" s="93"/>
      <c r="EA956" s="93"/>
      <c r="EB956" s="93"/>
      <c r="EC956" s="93"/>
      <c r="ED956" s="93"/>
      <c r="EE956" s="93"/>
      <c r="EF956" s="93"/>
      <c r="EG956" s="93"/>
      <c r="EH956" s="93"/>
      <c r="EI956" s="93"/>
      <c r="EJ956" s="93"/>
      <c r="EK956" s="93"/>
      <c r="EL956" s="93"/>
      <c r="EM956" s="93"/>
      <c r="EN956" s="93"/>
      <c r="EO956" s="93"/>
      <c r="EP956" s="93"/>
      <c r="EQ956" s="93"/>
      <c r="ER956" s="93"/>
      <c r="ES956" s="93"/>
      <c r="ET956" s="93"/>
      <c r="EU956" s="93"/>
      <c r="EV956" s="93"/>
      <c r="EW956" s="93"/>
      <c r="EX956" s="93"/>
      <c r="EY956" s="93"/>
      <c r="EZ956" s="93"/>
      <c r="FA956" s="93"/>
      <c r="FB956" s="93"/>
      <c r="FC956" s="93"/>
      <c r="FD956" s="93"/>
      <c r="FE956" s="93"/>
      <c r="FF956" s="93"/>
    </row>
    <row r="957" spans="1:162" ht="15.75" customHeight="1">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row>
    <row r="958" spans="1:162" ht="15.75" customHeight="1">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c r="CC958" s="93"/>
      <c r="CD958" s="93"/>
      <c r="CE958" s="93"/>
      <c r="CF958" s="93"/>
      <c r="CG958" s="93"/>
      <c r="CH958" s="93"/>
      <c r="CI958" s="93"/>
      <c r="CJ958" s="93"/>
      <c r="CK958" s="93"/>
      <c r="CL958" s="93"/>
      <c r="CM958" s="93"/>
      <c r="CN958" s="93"/>
      <c r="CO958" s="93"/>
      <c r="CP958" s="93"/>
      <c r="CQ958" s="93"/>
      <c r="CR958" s="93"/>
      <c r="CS958" s="93"/>
      <c r="CT958" s="93"/>
      <c r="CU958" s="93"/>
      <c r="CV958" s="93"/>
      <c r="CW958" s="93"/>
      <c r="CX958" s="93"/>
      <c r="CY958" s="93"/>
      <c r="CZ958" s="93"/>
      <c r="DA958" s="93"/>
      <c r="DB958" s="93"/>
      <c r="DC958" s="93"/>
      <c r="DD958" s="93"/>
      <c r="DE958" s="93"/>
      <c r="DF958" s="93"/>
      <c r="DG958" s="93"/>
      <c r="DH958" s="93"/>
      <c r="DI958" s="93"/>
      <c r="DJ958" s="93"/>
      <c r="DK958" s="93"/>
      <c r="DL958" s="93"/>
      <c r="DM958" s="93"/>
      <c r="DN958" s="93"/>
      <c r="DO958" s="93"/>
      <c r="DP958" s="93"/>
      <c r="DQ958" s="93"/>
      <c r="DR958" s="93"/>
      <c r="DS958" s="93"/>
      <c r="DT958" s="93"/>
      <c r="DU958" s="93"/>
      <c r="DV958" s="93"/>
      <c r="DW958" s="93"/>
      <c r="DX958" s="93"/>
      <c r="DY958" s="93"/>
      <c r="DZ958" s="93"/>
      <c r="EA958" s="93"/>
      <c r="EB958" s="93"/>
      <c r="EC958" s="93"/>
      <c r="ED958" s="93"/>
      <c r="EE958" s="93"/>
      <c r="EF958" s="93"/>
      <c r="EG958" s="93"/>
      <c r="EH958" s="93"/>
      <c r="EI958" s="93"/>
      <c r="EJ958" s="93"/>
      <c r="EK958" s="93"/>
      <c r="EL958" s="93"/>
      <c r="EM958" s="93"/>
      <c r="EN958" s="93"/>
      <c r="EO958" s="93"/>
      <c r="EP958" s="93"/>
      <c r="EQ958" s="93"/>
      <c r="ER958" s="93"/>
      <c r="ES958" s="93"/>
      <c r="ET958" s="93"/>
      <c r="EU958" s="93"/>
      <c r="EV958" s="93"/>
      <c r="EW958" s="93"/>
      <c r="EX958" s="93"/>
      <c r="EY958" s="93"/>
      <c r="EZ958" s="93"/>
      <c r="FA958" s="93"/>
      <c r="FB958" s="93"/>
      <c r="FC958" s="93"/>
      <c r="FD958" s="93"/>
      <c r="FE958" s="93"/>
      <c r="FF958" s="93"/>
    </row>
    <row r="959" spans="1:162" ht="15.75" customHeight="1">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row>
    <row r="960" spans="1:162" ht="15.75" customHeight="1">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row>
    <row r="961" spans="1:162" ht="15.75" customHeight="1">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row>
    <row r="962" spans="1:162" ht="15.75" customHeight="1">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row>
    <row r="963" spans="1:162" ht="15.75" customHeight="1">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row>
    <row r="964" spans="1:162" ht="15.75" customHeight="1">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93"/>
      <c r="DV964" s="93"/>
      <c r="DW964" s="93"/>
      <c r="DX964" s="93"/>
      <c r="DY964" s="93"/>
      <c r="DZ964" s="93"/>
      <c r="EA964" s="93"/>
      <c r="EB964" s="93"/>
      <c r="EC964" s="93"/>
      <c r="ED964" s="93"/>
      <c r="EE964" s="93"/>
      <c r="EF964" s="93"/>
      <c r="EG964" s="93"/>
      <c r="EH964" s="93"/>
      <c r="EI964" s="93"/>
      <c r="EJ964" s="93"/>
      <c r="EK964" s="93"/>
      <c r="EL964" s="93"/>
      <c r="EM964" s="93"/>
      <c r="EN964" s="93"/>
      <c r="EO964" s="93"/>
      <c r="EP964" s="93"/>
      <c r="EQ964" s="93"/>
      <c r="ER964" s="93"/>
      <c r="ES964" s="93"/>
      <c r="ET964" s="93"/>
      <c r="EU964" s="93"/>
      <c r="EV964" s="93"/>
      <c r="EW964" s="93"/>
      <c r="EX964" s="93"/>
      <c r="EY964" s="93"/>
      <c r="EZ964" s="93"/>
      <c r="FA964" s="93"/>
      <c r="FB964" s="93"/>
      <c r="FC964" s="93"/>
      <c r="FD964" s="93"/>
      <c r="FE964" s="93"/>
      <c r="FF964" s="93"/>
    </row>
    <row r="965" spans="1:162" ht="15.75" customHeight="1">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93"/>
      <c r="BO965" s="93"/>
      <c r="BP965" s="93"/>
      <c r="BQ965" s="93"/>
      <c r="BR965" s="93"/>
      <c r="BS965" s="93"/>
      <c r="BT965" s="93"/>
      <c r="BU965" s="93"/>
      <c r="BV965" s="93"/>
      <c r="BW965" s="93"/>
      <c r="BX965" s="93"/>
      <c r="BY965" s="93"/>
      <c r="BZ965" s="93"/>
      <c r="CA965" s="93"/>
      <c r="CB965" s="93"/>
      <c r="CC965" s="93"/>
      <c r="CD965" s="93"/>
      <c r="CE965" s="93"/>
      <c r="CF965" s="93"/>
      <c r="CG965" s="93"/>
      <c r="CH965" s="93"/>
      <c r="CI965" s="93"/>
      <c r="CJ965" s="93"/>
      <c r="CK965" s="93"/>
      <c r="CL965" s="93"/>
      <c r="CM965" s="93"/>
      <c r="CN965" s="93"/>
      <c r="CO965" s="93"/>
      <c r="CP965" s="93"/>
      <c r="CQ965" s="93"/>
      <c r="CR965" s="93"/>
      <c r="CS965" s="93"/>
      <c r="CT965" s="93"/>
      <c r="CU965" s="93"/>
      <c r="CV965" s="93"/>
      <c r="CW965" s="93"/>
      <c r="CX965" s="93"/>
      <c r="CY965" s="93"/>
      <c r="CZ965" s="93"/>
      <c r="DA965" s="93"/>
      <c r="DB965" s="93"/>
      <c r="DC965" s="93"/>
      <c r="DD965" s="93"/>
      <c r="DE965" s="93"/>
      <c r="DF965" s="93"/>
      <c r="DG965" s="93"/>
      <c r="DH965" s="93"/>
      <c r="DI965" s="93"/>
      <c r="DJ965" s="93"/>
      <c r="DK965" s="93"/>
      <c r="DL965" s="93"/>
      <c r="DM965" s="93"/>
      <c r="DN965" s="93"/>
      <c r="DO965" s="93"/>
      <c r="DP965" s="93"/>
      <c r="DQ965" s="93"/>
      <c r="DR965" s="93"/>
      <c r="DS965" s="93"/>
      <c r="DT965" s="93"/>
      <c r="DU965" s="93"/>
      <c r="DV965" s="93"/>
      <c r="DW965" s="93"/>
      <c r="DX965" s="93"/>
      <c r="DY965" s="93"/>
      <c r="DZ965" s="93"/>
      <c r="EA965" s="93"/>
      <c r="EB965" s="93"/>
      <c r="EC965" s="93"/>
      <c r="ED965" s="93"/>
      <c r="EE965" s="93"/>
      <c r="EF965" s="93"/>
      <c r="EG965" s="93"/>
      <c r="EH965" s="93"/>
      <c r="EI965" s="93"/>
      <c r="EJ965" s="93"/>
      <c r="EK965" s="93"/>
      <c r="EL965" s="93"/>
      <c r="EM965" s="93"/>
      <c r="EN965" s="93"/>
      <c r="EO965" s="93"/>
      <c r="EP965" s="93"/>
      <c r="EQ965" s="93"/>
      <c r="ER965" s="93"/>
      <c r="ES965" s="93"/>
      <c r="ET965" s="93"/>
      <c r="EU965" s="93"/>
      <c r="EV965" s="93"/>
      <c r="EW965" s="93"/>
      <c r="EX965" s="93"/>
      <c r="EY965" s="93"/>
      <c r="EZ965" s="93"/>
      <c r="FA965" s="93"/>
      <c r="FB965" s="93"/>
      <c r="FC965" s="93"/>
      <c r="FD965" s="93"/>
      <c r="FE965" s="93"/>
      <c r="FF965" s="93"/>
    </row>
    <row r="966" spans="1:162" ht="15.75" customHeight="1">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c r="BS966" s="93"/>
      <c r="BT966" s="93"/>
      <c r="BU966" s="93"/>
      <c r="BV966" s="93"/>
      <c r="BW966" s="93"/>
      <c r="BX966" s="93"/>
      <c r="BY966" s="93"/>
      <c r="BZ966" s="93"/>
      <c r="CA966" s="93"/>
      <c r="CB966" s="93"/>
      <c r="CC966" s="93"/>
      <c r="CD966" s="93"/>
      <c r="CE966" s="93"/>
      <c r="CF966" s="93"/>
      <c r="CG966" s="93"/>
      <c r="CH966" s="93"/>
      <c r="CI966" s="93"/>
      <c r="CJ966" s="93"/>
      <c r="CK966" s="93"/>
      <c r="CL966" s="93"/>
      <c r="CM966" s="93"/>
      <c r="CN966" s="93"/>
      <c r="CO966" s="93"/>
      <c r="CP966" s="93"/>
      <c r="CQ966" s="93"/>
      <c r="CR966" s="93"/>
      <c r="CS966" s="93"/>
      <c r="CT966" s="93"/>
      <c r="CU966" s="93"/>
      <c r="CV966" s="93"/>
      <c r="CW966" s="93"/>
      <c r="CX966" s="93"/>
      <c r="CY966" s="93"/>
      <c r="CZ966" s="93"/>
      <c r="DA966" s="93"/>
      <c r="DB966" s="93"/>
      <c r="DC966" s="93"/>
      <c r="DD966" s="93"/>
      <c r="DE966" s="93"/>
      <c r="DF966" s="93"/>
      <c r="DG966" s="93"/>
      <c r="DH966" s="93"/>
      <c r="DI966" s="93"/>
      <c r="DJ966" s="93"/>
      <c r="DK966" s="93"/>
      <c r="DL966" s="93"/>
      <c r="DM966" s="93"/>
      <c r="DN966" s="93"/>
      <c r="DO966" s="93"/>
      <c r="DP966" s="93"/>
      <c r="DQ966" s="93"/>
      <c r="DR966" s="93"/>
      <c r="DS966" s="93"/>
      <c r="DT966" s="93"/>
      <c r="DU966" s="93"/>
      <c r="DV966" s="93"/>
      <c r="DW966" s="93"/>
      <c r="DX966" s="93"/>
      <c r="DY966" s="93"/>
      <c r="DZ966" s="93"/>
      <c r="EA966" s="93"/>
      <c r="EB966" s="93"/>
      <c r="EC966" s="93"/>
      <c r="ED966" s="93"/>
      <c r="EE966" s="93"/>
      <c r="EF966" s="93"/>
      <c r="EG966" s="93"/>
      <c r="EH966" s="93"/>
      <c r="EI966" s="93"/>
      <c r="EJ966" s="93"/>
      <c r="EK966" s="93"/>
      <c r="EL966" s="93"/>
      <c r="EM966" s="93"/>
      <c r="EN966" s="93"/>
      <c r="EO966" s="93"/>
      <c r="EP966" s="93"/>
      <c r="EQ966" s="93"/>
      <c r="ER966" s="93"/>
      <c r="ES966" s="93"/>
      <c r="ET966" s="93"/>
      <c r="EU966" s="93"/>
      <c r="EV966" s="93"/>
      <c r="EW966" s="93"/>
      <c r="EX966" s="93"/>
      <c r="EY966" s="93"/>
      <c r="EZ966" s="93"/>
      <c r="FA966" s="93"/>
      <c r="FB966" s="93"/>
      <c r="FC966" s="93"/>
      <c r="FD966" s="93"/>
      <c r="FE966" s="93"/>
      <c r="FF966" s="93"/>
    </row>
    <row r="967" spans="1:162" ht="15.75" customHeight="1">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93"/>
      <c r="BO967" s="93"/>
      <c r="BP967" s="93"/>
      <c r="BQ967" s="93"/>
      <c r="BR967" s="93"/>
      <c r="BS967" s="93"/>
      <c r="BT967" s="93"/>
      <c r="BU967" s="93"/>
      <c r="BV967" s="93"/>
      <c r="BW967" s="93"/>
      <c r="BX967" s="93"/>
      <c r="BY967" s="93"/>
      <c r="BZ967" s="93"/>
      <c r="CA967" s="93"/>
      <c r="CB967" s="93"/>
      <c r="CC967" s="93"/>
      <c r="CD967" s="93"/>
      <c r="CE967" s="93"/>
      <c r="CF967" s="93"/>
      <c r="CG967" s="93"/>
      <c r="CH967" s="93"/>
      <c r="CI967" s="93"/>
      <c r="CJ967" s="93"/>
      <c r="CK967" s="93"/>
      <c r="CL967" s="93"/>
      <c r="CM967" s="93"/>
      <c r="CN967" s="93"/>
      <c r="CO967" s="93"/>
      <c r="CP967" s="93"/>
      <c r="CQ967" s="93"/>
      <c r="CR967" s="93"/>
      <c r="CS967" s="93"/>
      <c r="CT967" s="93"/>
      <c r="CU967" s="93"/>
      <c r="CV967" s="93"/>
      <c r="CW967" s="93"/>
      <c r="CX967" s="93"/>
      <c r="CY967" s="93"/>
      <c r="CZ967" s="93"/>
      <c r="DA967" s="93"/>
      <c r="DB967" s="93"/>
      <c r="DC967" s="93"/>
      <c r="DD967" s="93"/>
      <c r="DE967" s="93"/>
      <c r="DF967" s="93"/>
      <c r="DG967" s="93"/>
      <c r="DH967" s="93"/>
      <c r="DI967" s="93"/>
      <c r="DJ967" s="93"/>
      <c r="DK967" s="93"/>
      <c r="DL967" s="93"/>
      <c r="DM967" s="93"/>
      <c r="DN967" s="93"/>
      <c r="DO967" s="93"/>
      <c r="DP967" s="93"/>
      <c r="DQ967" s="93"/>
      <c r="DR967" s="93"/>
      <c r="DS967" s="93"/>
      <c r="DT967" s="93"/>
      <c r="DU967" s="93"/>
      <c r="DV967" s="93"/>
      <c r="DW967" s="93"/>
      <c r="DX967" s="93"/>
      <c r="DY967" s="93"/>
      <c r="DZ967" s="93"/>
      <c r="EA967" s="93"/>
      <c r="EB967" s="93"/>
      <c r="EC967" s="93"/>
      <c r="ED967" s="93"/>
      <c r="EE967" s="93"/>
      <c r="EF967" s="93"/>
      <c r="EG967" s="93"/>
      <c r="EH967" s="93"/>
      <c r="EI967" s="93"/>
      <c r="EJ967" s="93"/>
      <c r="EK967" s="93"/>
      <c r="EL967" s="93"/>
      <c r="EM967" s="93"/>
      <c r="EN967" s="93"/>
      <c r="EO967" s="93"/>
      <c r="EP967" s="93"/>
      <c r="EQ967" s="93"/>
      <c r="ER967" s="93"/>
      <c r="ES967" s="93"/>
      <c r="ET967" s="93"/>
      <c r="EU967" s="93"/>
      <c r="EV967" s="93"/>
      <c r="EW967" s="93"/>
      <c r="EX967" s="93"/>
      <c r="EY967" s="93"/>
      <c r="EZ967" s="93"/>
      <c r="FA967" s="93"/>
      <c r="FB967" s="93"/>
      <c r="FC967" s="93"/>
      <c r="FD967" s="93"/>
      <c r="FE967" s="93"/>
      <c r="FF967" s="93"/>
    </row>
    <row r="968" spans="1:162" ht="15.75" customHeight="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c r="CC968" s="93"/>
      <c r="CD968" s="93"/>
      <c r="CE968" s="93"/>
      <c r="CF968" s="93"/>
      <c r="CG968" s="93"/>
      <c r="CH968" s="93"/>
      <c r="CI968" s="93"/>
      <c r="CJ968" s="93"/>
      <c r="CK968" s="93"/>
      <c r="CL968" s="93"/>
      <c r="CM968" s="93"/>
      <c r="CN968" s="93"/>
      <c r="CO968" s="93"/>
      <c r="CP968" s="93"/>
      <c r="CQ968" s="93"/>
      <c r="CR968" s="93"/>
      <c r="CS968" s="93"/>
      <c r="CT968" s="93"/>
      <c r="CU968" s="93"/>
      <c r="CV968" s="93"/>
      <c r="CW968" s="93"/>
      <c r="CX968" s="93"/>
      <c r="CY968" s="93"/>
      <c r="CZ968" s="93"/>
      <c r="DA968" s="93"/>
      <c r="DB968" s="93"/>
      <c r="DC968" s="93"/>
      <c r="DD968" s="93"/>
      <c r="DE968" s="93"/>
      <c r="DF968" s="93"/>
      <c r="DG968" s="93"/>
      <c r="DH968" s="93"/>
      <c r="DI968" s="93"/>
      <c r="DJ968" s="93"/>
      <c r="DK968" s="93"/>
      <c r="DL968" s="93"/>
      <c r="DM968" s="93"/>
      <c r="DN968" s="93"/>
      <c r="DO968" s="93"/>
      <c r="DP968" s="93"/>
      <c r="DQ968" s="93"/>
      <c r="DR968" s="93"/>
      <c r="DS968" s="93"/>
      <c r="DT968" s="93"/>
      <c r="DU968" s="93"/>
      <c r="DV968" s="93"/>
      <c r="DW968" s="93"/>
      <c r="DX968" s="93"/>
      <c r="DY968" s="93"/>
      <c r="DZ968" s="93"/>
      <c r="EA968" s="93"/>
      <c r="EB968" s="93"/>
      <c r="EC968" s="93"/>
      <c r="ED968" s="93"/>
      <c r="EE968" s="93"/>
      <c r="EF968" s="93"/>
      <c r="EG968" s="93"/>
      <c r="EH968" s="93"/>
      <c r="EI968" s="93"/>
      <c r="EJ968" s="93"/>
      <c r="EK968" s="93"/>
      <c r="EL968" s="93"/>
      <c r="EM968" s="93"/>
      <c r="EN968" s="93"/>
      <c r="EO968" s="93"/>
      <c r="EP968" s="93"/>
      <c r="EQ968" s="93"/>
      <c r="ER968" s="93"/>
      <c r="ES968" s="93"/>
      <c r="ET968" s="93"/>
      <c r="EU968" s="93"/>
      <c r="EV968" s="93"/>
      <c r="EW968" s="93"/>
      <c r="EX968" s="93"/>
      <c r="EY968" s="93"/>
      <c r="EZ968" s="93"/>
      <c r="FA968" s="93"/>
      <c r="FB968" s="93"/>
      <c r="FC968" s="93"/>
      <c r="FD968" s="93"/>
      <c r="FE968" s="93"/>
      <c r="FF968" s="93"/>
    </row>
    <row r="969" spans="1:162" ht="15.75" customHeight="1">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93"/>
      <c r="BO969" s="93"/>
      <c r="BP969" s="93"/>
      <c r="BQ969" s="93"/>
      <c r="BR969" s="93"/>
      <c r="BS969" s="93"/>
      <c r="BT969" s="93"/>
      <c r="BU969" s="93"/>
      <c r="BV969" s="93"/>
      <c r="BW969" s="93"/>
      <c r="BX969" s="93"/>
      <c r="BY969" s="93"/>
      <c r="BZ969" s="93"/>
      <c r="CA969" s="93"/>
      <c r="CB969" s="93"/>
      <c r="CC969" s="93"/>
      <c r="CD969" s="93"/>
      <c r="CE969" s="93"/>
      <c r="CF969" s="93"/>
      <c r="CG969" s="93"/>
      <c r="CH969" s="93"/>
      <c r="CI969" s="93"/>
      <c r="CJ969" s="93"/>
      <c r="CK969" s="93"/>
      <c r="CL969" s="93"/>
      <c r="CM969" s="93"/>
      <c r="CN969" s="93"/>
      <c r="CO969" s="93"/>
      <c r="CP969" s="93"/>
      <c r="CQ969" s="93"/>
      <c r="CR969" s="93"/>
      <c r="CS969" s="93"/>
      <c r="CT969" s="93"/>
      <c r="CU969" s="93"/>
      <c r="CV969" s="93"/>
      <c r="CW969" s="93"/>
      <c r="CX969" s="93"/>
      <c r="CY969" s="93"/>
      <c r="CZ969" s="93"/>
      <c r="DA969" s="93"/>
      <c r="DB969" s="93"/>
      <c r="DC969" s="93"/>
      <c r="DD969" s="93"/>
      <c r="DE969" s="93"/>
      <c r="DF969" s="93"/>
      <c r="DG969" s="93"/>
      <c r="DH969" s="93"/>
      <c r="DI969" s="93"/>
      <c r="DJ969" s="93"/>
      <c r="DK969" s="93"/>
      <c r="DL969" s="93"/>
      <c r="DM969" s="93"/>
      <c r="DN969" s="93"/>
      <c r="DO969" s="93"/>
      <c r="DP969" s="93"/>
      <c r="DQ969" s="93"/>
      <c r="DR969" s="93"/>
      <c r="DS969" s="93"/>
      <c r="DT969" s="93"/>
      <c r="DU969" s="93"/>
      <c r="DV969" s="93"/>
      <c r="DW969" s="93"/>
      <c r="DX969" s="93"/>
      <c r="DY969" s="93"/>
      <c r="DZ969" s="93"/>
      <c r="EA969" s="93"/>
      <c r="EB969" s="93"/>
      <c r="EC969" s="93"/>
      <c r="ED969" s="93"/>
      <c r="EE969" s="93"/>
      <c r="EF969" s="93"/>
      <c r="EG969" s="93"/>
      <c r="EH969" s="93"/>
      <c r="EI969" s="93"/>
      <c r="EJ969" s="93"/>
      <c r="EK969" s="93"/>
      <c r="EL969" s="93"/>
      <c r="EM969" s="93"/>
      <c r="EN969" s="93"/>
      <c r="EO969" s="93"/>
      <c r="EP969" s="93"/>
      <c r="EQ969" s="93"/>
      <c r="ER969" s="93"/>
      <c r="ES969" s="93"/>
      <c r="ET969" s="93"/>
      <c r="EU969" s="93"/>
      <c r="EV969" s="93"/>
      <c r="EW969" s="93"/>
      <c r="EX969" s="93"/>
      <c r="EY969" s="93"/>
      <c r="EZ969" s="93"/>
      <c r="FA969" s="93"/>
      <c r="FB969" s="93"/>
      <c r="FC969" s="93"/>
      <c r="FD969" s="93"/>
      <c r="FE969" s="93"/>
      <c r="FF969" s="93"/>
    </row>
    <row r="970" spans="1:162" ht="15.75" customHeight="1">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c r="BS970" s="93"/>
      <c r="BT970" s="93"/>
      <c r="BU970" s="93"/>
      <c r="BV970" s="93"/>
      <c r="BW970" s="93"/>
      <c r="BX970" s="93"/>
      <c r="BY970" s="93"/>
      <c r="BZ970" s="93"/>
      <c r="CA970" s="93"/>
      <c r="CB970" s="93"/>
      <c r="CC970" s="93"/>
      <c r="CD970" s="93"/>
      <c r="CE970" s="93"/>
      <c r="CF970" s="93"/>
      <c r="CG970" s="93"/>
      <c r="CH970" s="93"/>
      <c r="CI970" s="93"/>
      <c r="CJ970" s="93"/>
      <c r="CK970" s="93"/>
      <c r="CL970" s="93"/>
      <c r="CM970" s="93"/>
      <c r="CN970" s="93"/>
      <c r="CO970" s="93"/>
      <c r="CP970" s="93"/>
      <c r="CQ970" s="93"/>
      <c r="CR970" s="93"/>
      <c r="CS970" s="93"/>
      <c r="CT970" s="93"/>
      <c r="CU970" s="93"/>
      <c r="CV970" s="93"/>
      <c r="CW970" s="93"/>
      <c r="CX970" s="93"/>
      <c r="CY970" s="93"/>
      <c r="CZ970" s="93"/>
      <c r="DA970" s="93"/>
      <c r="DB970" s="93"/>
      <c r="DC970" s="93"/>
      <c r="DD970" s="93"/>
      <c r="DE970" s="93"/>
      <c r="DF970" s="93"/>
      <c r="DG970" s="93"/>
      <c r="DH970" s="93"/>
      <c r="DI970" s="93"/>
      <c r="DJ970" s="93"/>
      <c r="DK970" s="93"/>
      <c r="DL970" s="93"/>
      <c r="DM970" s="93"/>
      <c r="DN970" s="93"/>
      <c r="DO970" s="93"/>
      <c r="DP970" s="93"/>
      <c r="DQ970" s="93"/>
      <c r="DR970" s="93"/>
      <c r="DS970" s="93"/>
      <c r="DT970" s="93"/>
      <c r="DU970" s="93"/>
      <c r="DV970" s="93"/>
      <c r="DW970" s="93"/>
      <c r="DX970" s="93"/>
      <c r="DY970" s="93"/>
      <c r="DZ970" s="93"/>
      <c r="EA970" s="93"/>
      <c r="EB970" s="93"/>
      <c r="EC970" s="93"/>
      <c r="ED970" s="93"/>
      <c r="EE970" s="93"/>
      <c r="EF970" s="93"/>
      <c r="EG970" s="93"/>
      <c r="EH970" s="93"/>
      <c r="EI970" s="93"/>
      <c r="EJ970" s="93"/>
      <c r="EK970" s="93"/>
      <c r="EL970" s="93"/>
      <c r="EM970" s="93"/>
      <c r="EN970" s="93"/>
      <c r="EO970" s="93"/>
      <c r="EP970" s="93"/>
      <c r="EQ970" s="93"/>
      <c r="ER970" s="93"/>
      <c r="ES970" s="93"/>
      <c r="ET970" s="93"/>
      <c r="EU970" s="93"/>
      <c r="EV970" s="93"/>
      <c r="EW970" s="93"/>
      <c r="EX970" s="93"/>
      <c r="EY970" s="93"/>
      <c r="EZ970" s="93"/>
      <c r="FA970" s="93"/>
      <c r="FB970" s="93"/>
      <c r="FC970" s="93"/>
      <c r="FD970" s="93"/>
      <c r="FE970" s="93"/>
      <c r="FF970" s="93"/>
    </row>
    <row r="971" spans="1:162" ht="15.75" customHeight="1">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93"/>
      <c r="BO971" s="93"/>
      <c r="BP971" s="93"/>
      <c r="BQ971" s="93"/>
      <c r="BR971" s="93"/>
      <c r="BS971" s="93"/>
      <c r="BT971" s="93"/>
      <c r="BU971" s="93"/>
      <c r="BV971" s="93"/>
      <c r="BW971" s="93"/>
      <c r="BX971" s="93"/>
      <c r="BY971" s="93"/>
      <c r="BZ971" s="93"/>
      <c r="CA971" s="93"/>
      <c r="CB971" s="93"/>
      <c r="CC971" s="93"/>
      <c r="CD971" s="93"/>
      <c r="CE971" s="93"/>
      <c r="CF971" s="93"/>
      <c r="CG971" s="93"/>
      <c r="CH971" s="93"/>
      <c r="CI971" s="93"/>
      <c r="CJ971" s="93"/>
      <c r="CK971" s="93"/>
      <c r="CL971" s="93"/>
      <c r="CM971" s="93"/>
      <c r="CN971" s="93"/>
      <c r="CO971" s="93"/>
      <c r="CP971" s="93"/>
      <c r="CQ971" s="93"/>
      <c r="CR971" s="93"/>
      <c r="CS971" s="93"/>
      <c r="CT971" s="93"/>
      <c r="CU971" s="93"/>
      <c r="CV971" s="93"/>
      <c r="CW971" s="93"/>
      <c r="CX971" s="93"/>
      <c r="CY971" s="93"/>
      <c r="CZ971" s="93"/>
      <c r="DA971" s="93"/>
      <c r="DB971" s="93"/>
      <c r="DC971" s="93"/>
      <c r="DD971" s="93"/>
      <c r="DE971" s="93"/>
      <c r="DF971" s="93"/>
      <c r="DG971" s="93"/>
      <c r="DH971" s="93"/>
      <c r="DI971" s="93"/>
      <c r="DJ971" s="93"/>
      <c r="DK971" s="93"/>
      <c r="DL971" s="93"/>
      <c r="DM971" s="93"/>
      <c r="DN971" s="93"/>
      <c r="DO971" s="93"/>
      <c r="DP971" s="93"/>
      <c r="DQ971" s="93"/>
      <c r="DR971" s="93"/>
      <c r="DS971" s="93"/>
      <c r="DT971" s="93"/>
      <c r="DU971" s="93"/>
      <c r="DV971" s="93"/>
      <c r="DW971" s="93"/>
      <c r="DX971" s="93"/>
      <c r="DY971" s="93"/>
      <c r="DZ971" s="93"/>
      <c r="EA971" s="93"/>
      <c r="EB971" s="93"/>
      <c r="EC971" s="93"/>
      <c r="ED971" s="93"/>
      <c r="EE971" s="93"/>
      <c r="EF971" s="93"/>
      <c r="EG971" s="93"/>
      <c r="EH971" s="93"/>
      <c r="EI971" s="93"/>
      <c r="EJ971" s="93"/>
      <c r="EK971" s="93"/>
      <c r="EL971" s="93"/>
      <c r="EM971" s="93"/>
      <c r="EN971" s="93"/>
      <c r="EO971" s="93"/>
      <c r="EP971" s="93"/>
      <c r="EQ971" s="93"/>
      <c r="ER971" s="93"/>
      <c r="ES971" s="93"/>
      <c r="ET971" s="93"/>
      <c r="EU971" s="93"/>
      <c r="EV971" s="93"/>
      <c r="EW971" s="93"/>
      <c r="EX971" s="93"/>
      <c r="EY971" s="93"/>
      <c r="EZ971" s="93"/>
      <c r="FA971" s="93"/>
      <c r="FB971" s="93"/>
      <c r="FC971" s="93"/>
      <c r="FD971" s="93"/>
      <c r="FE971" s="93"/>
      <c r="FF971" s="93"/>
    </row>
    <row r="972" spans="1:162" ht="15.75" customHeight="1">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c r="BS972" s="93"/>
      <c r="BT972" s="93"/>
      <c r="BU972" s="93"/>
      <c r="BV972" s="93"/>
      <c r="BW972" s="93"/>
      <c r="BX972" s="93"/>
      <c r="BY972" s="93"/>
      <c r="BZ972" s="93"/>
      <c r="CA972" s="93"/>
      <c r="CB972" s="93"/>
      <c r="CC972" s="93"/>
      <c r="CD972" s="93"/>
      <c r="CE972" s="93"/>
      <c r="CF972" s="93"/>
      <c r="CG972" s="93"/>
      <c r="CH972" s="93"/>
      <c r="CI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93"/>
      <c r="EF972" s="93"/>
      <c r="EG972" s="93"/>
      <c r="EH972" s="93"/>
      <c r="EI972" s="93"/>
      <c r="EJ972" s="93"/>
      <c r="EK972" s="93"/>
      <c r="EL972" s="93"/>
      <c r="EM972" s="93"/>
      <c r="EN972" s="93"/>
      <c r="EO972" s="93"/>
      <c r="EP972" s="93"/>
      <c r="EQ972" s="93"/>
      <c r="ER972" s="93"/>
      <c r="ES972" s="93"/>
      <c r="ET972" s="93"/>
      <c r="EU972" s="93"/>
      <c r="EV972" s="93"/>
      <c r="EW972" s="93"/>
      <c r="EX972" s="93"/>
      <c r="EY972" s="93"/>
      <c r="EZ972" s="93"/>
      <c r="FA972" s="93"/>
      <c r="FB972" s="93"/>
      <c r="FC972" s="93"/>
      <c r="FD972" s="93"/>
      <c r="FE972" s="93"/>
      <c r="FF972" s="93"/>
    </row>
    <row r="973" spans="1:162" ht="15.75" customHeight="1">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93"/>
      <c r="BO973" s="93"/>
      <c r="BP973" s="93"/>
      <c r="BQ973" s="93"/>
      <c r="BR973" s="93"/>
      <c r="BS973" s="93"/>
      <c r="BT973" s="93"/>
      <c r="BU973" s="93"/>
      <c r="BV973" s="93"/>
      <c r="BW973" s="93"/>
      <c r="BX973" s="93"/>
      <c r="BY973" s="93"/>
      <c r="BZ973" s="93"/>
      <c r="CA973" s="93"/>
      <c r="CB973" s="93"/>
      <c r="CC973" s="93"/>
      <c r="CD973" s="93"/>
      <c r="CE973" s="93"/>
      <c r="CF973" s="93"/>
      <c r="CG973" s="93"/>
      <c r="CH973" s="93"/>
      <c r="CI973" s="93"/>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93"/>
      <c r="EF973" s="93"/>
      <c r="EG973" s="93"/>
      <c r="EH973" s="93"/>
      <c r="EI973" s="93"/>
      <c r="EJ973" s="93"/>
      <c r="EK973" s="93"/>
      <c r="EL973" s="93"/>
      <c r="EM973" s="93"/>
      <c r="EN973" s="93"/>
      <c r="EO973" s="93"/>
      <c r="EP973" s="93"/>
      <c r="EQ973" s="93"/>
      <c r="ER973" s="93"/>
      <c r="ES973" s="93"/>
      <c r="ET973" s="93"/>
      <c r="EU973" s="93"/>
      <c r="EV973" s="93"/>
      <c r="EW973" s="93"/>
      <c r="EX973" s="93"/>
      <c r="EY973" s="93"/>
      <c r="EZ973" s="93"/>
      <c r="FA973" s="93"/>
      <c r="FB973" s="93"/>
      <c r="FC973" s="93"/>
      <c r="FD973" s="93"/>
      <c r="FE973" s="93"/>
      <c r="FF973" s="93"/>
    </row>
    <row r="974" spans="1:162" ht="15.75" customHeight="1">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c r="BS974" s="93"/>
      <c r="BT974" s="93"/>
      <c r="BU974" s="93"/>
      <c r="BV974" s="93"/>
      <c r="BW974" s="93"/>
      <c r="BX974" s="93"/>
      <c r="BY974" s="93"/>
      <c r="BZ974" s="93"/>
      <c r="CA974" s="93"/>
      <c r="CB974" s="93"/>
      <c r="CC974" s="93"/>
      <c r="CD974" s="93"/>
      <c r="CE974" s="93"/>
      <c r="CF974" s="93"/>
      <c r="CG974" s="93"/>
      <c r="CH974" s="93"/>
      <c r="CI974" s="93"/>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93"/>
      <c r="DH974" s="93"/>
      <c r="DI974" s="93"/>
      <c r="DJ974" s="93"/>
      <c r="DK974" s="93"/>
      <c r="DL974" s="93"/>
      <c r="DM974" s="93"/>
      <c r="DN974" s="93"/>
      <c r="DO974" s="93"/>
      <c r="DP974" s="93"/>
      <c r="DQ974" s="93"/>
      <c r="DR974" s="93"/>
      <c r="DS974" s="93"/>
      <c r="DT974" s="93"/>
      <c r="DU974" s="93"/>
      <c r="DV974" s="93"/>
      <c r="DW974" s="93"/>
      <c r="DX974" s="93"/>
      <c r="DY974" s="93"/>
      <c r="DZ974" s="93"/>
      <c r="EA974" s="93"/>
      <c r="EB974" s="93"/>
      <c r="EC974" s="93"/>
      <c r="ED974" s="93"/>
      <c r="EE974" s="93"/>
      <c r="EF974" s="93"/>
      <c r="EG974" s="93"/>
      <c r="EH974" s="93"/>
      <c r="EI974" s="93"/>
      <c r="EJ974" s="93"/>
      <c r="EK974" s="93"/>
      <c r="EL974" s="93"/>
      <c r="EM974" s="93"/>
      <c r="EN974" s="93"/>
      <c r="EO974" s="93"/>
      <c r="EP974" s="93"/>
      <c r="EQ974" s="93"/>
      <c r="ER974" s="93"/>
      <c r="ES974" s="93"/>
      <c r="ET974" s="93"/>
      <c r="EU974" s="93"/>
      <c r="EV974" s="93"/>
      <c r="EW974" s="93"/>
      <c r="EX974" s="93"/>
      <c r="EY974" s="93"/>
      <c r="EZ974" s="93"/>
      <c r="FA974" s="93"/>
      <c r="FB974" s="93"/>
      <c r="FC974" s="93"/>
      <c r="FD974" s="93"/>
      <c r="FE974" s="93"/>
      <c r="FF974" s="93"/>
    </row>
    <row r="975" spans="1:162" ht="15.75" customHeight="1">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row>
    <row r="976" spans="1:162" ht="15.75" customHeight="1">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row>
    <row r="977" spans="1:162" ht="15.75" customHeight="1">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row>
    <row r="978" spans="1:162" ht="15.75" customHeight="1">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row>
    <row r="979" spans="1:162" ht="15.75" customHeight="1">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row>
    <row r="980" spans="1:162" ht="15.75" customHeight="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row>
    <row r="981" spans="1:162" ht="15.75" customHeight="1">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c r="CC981" s="93"/>
      <c r="CD981" s="93"/>
      <c r="CE981" s="93"/>
      <c r="CF981" s="93"/>
      <c r="CG981" s="93"/>
      <c r="CH981" s="93"/>
      <c r="CI981" s="93"/>
      <c r="CJ981" s="93"/>
      <c r="CK981" s="93"/>
      <c r="CL981" s="93"/>
      <c r="CM981" s="93"/>
      <c r="CN981" s="93"/>
      <c r="CO981" s="93"/>
      <c r="CP981" s="93"/>
      <c r="CQ981" s="93"/>
      <c r="CR981" s="93"/>
      <c r="CS981" s="93"/>
      <c r="CT981" s="93"/>
      <c r="CU981" s="93"/>
      <c r="CV981" s="93"/>
      <c r="CW981" s="93"/>
      <c r="CX981" s="93"/>
      <c r="CY981" s="93"/>
      <c r="CZ981" s="93"/>
      <c r="DA981" s="93"/>
      <c r="DB981" s="93"/>
      <c r="DC981" s="93"/>
      <c r="DD981" s="93"/>
      <c r="DE981" s="93"/>
      <c r="DF981" s="93"/>
      <c r="DG981" s="93"/>
      <c r="DH981" s="93"/>
      <c r="DI981" s="93"/>
      <c r="DJ981" s="93"/>
      <c r="DK981" s="93"/>
      <c r="DL981" s="93"/>
      <c r="DM981" s="93"/>
      <c r="DN981" s="93"/>
      <c r="DO981" s="93"/>
      <c r="DP981" s="93"/>
      <c r="DQ981" s="93"/>
      <c r="DR981" s="93"/>
      <c r="DS981" s="93"/>
      <c r="DT981" s="93"/>
      <c r="DU981" s="93"/>
      <c r="DV981" s="93"/>
      <c r="DW981" s="93"/>
      <c r="DX981" s="93"/>
      <c r="DY981" s="93"/>
      <c r="DZ981" s="93"/>
      <c r="EA981" s="93"/>
      <c r="EB981" s="93"/>
      <c r="EC981" s="93"/>
      <c r="ED981" s="93"/>
      <c r="EE981" s="93"/>
      <c r="EF981" s="93"/>
      <c r="EG981" s="93"/>
      <c r="EH981" s="93"/>
      <c r="EI981" s="93"/>
      <c r="EJ981" s="93"/>
      <c r="EK981" s="93"/>
      <c r="EL981" s="93"/>
      <c r="EM981" s="93"/>
      <c r="EN981" s="93"/>
      <c r="EO981" s="93"/>
      <c r="EP981" s="93"/>
      <c r="EQ981" s="93"/>
      <c r="ER981" s="93"/>
      <c r="ES981" s="93"/>
      <c r="ET981" s="93"/>
      <c r="EU981" s="93"/>
      <c r="EV981" s="93"/>
      <c r="EW981" s="93"/>
      <c r="EX981" s="93"/>
      <c r="EY981" s="93"/>
      <c r="EZ981" s="93"/>
      <c r="FA981" s="93"/>
      <c r="FB981" s="93"/>
      <c r="FC981" s="93"/>
      <c r="FD981" s="93"/>
      <c r="FE981" s="93"/>
      <c r="FF981" s="93"/>
    </row>
    <row r="982" spans="1:162" ht="15.75" customHeight="1">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93"/>
      <c r="BO982" s="93"/>
      <c r="BP982" s="93"/>
      <c r="BQ982" s="93"/>
      <c r="BR982" s="93"/>
      <c r="BS982" s="93"/>
      <c r="BT982" s="93"/>
      <c r="BU982" s="93"/>
      <c r="BV982" s="93"/>
      <c r="BW982" s="93"/>
      <c r="BX982" s="93"/>
      <c r="BY982" s="93"/>
      <c r="BZ982" s="93"/>
      <c r="CA982" s="93"/>
      <c r="CB982" s="93"/>
      <c r="CC982" s="93"/>
      <c r="CD982" s="93"/>
      <c r="CE982" s="93"/>
      <c r="CF982" s="93"/>
      <c r="CG982" s="93"/>
      <c r="CH982" s="93"/>
      <c r="CI982" s="93"/>
      <c r="CJ982" s="93"/>
      <c r="CK982" s="93"/>
      <c r="CL982" s="93"/>
      <c r="CM982" s="93"/>
      <c r="CN982" s="93"/>
      <c r="CO982" s="93"/>
      <c r="CP982" s="93"/>
      <c r="CQ982" s="93"/>
      <c r="CR982" s="93"/>
      <c r="CS982" s="93"/>
      <c r="CT982" s="93"/>
      <c r="CU982" s="93"/>
      <c r="CV982" s="93"/>
      <c r="CW982" s="93"/>
      <c r="CX982" s="93"/>
      <c r="CY982" s="93"/>
      <c r="CZ982" s="93"/>
      <c r="DA982" s="93"/>
      <c r="DB982" s="93"/>
      <c r="DC982" s="93"/>
      <c r="DD982" s="93"/>
      <c r="DE982" s="93"/>
      <c r="DF982" s="93"/>
      <c r="DG982" s="93"/>
      <c r="DH982" s="93"/>
      <c r="DI982" s="93"/>
      <c r="DJ982" s="93"/>
      <c r="DK982" s="93"/>
      <c r="DL982" s="93"/>
      <c r="DM982" s="93"/>
      <c r="DN982" s="93"/>
      <c r="DO982" s="93"/>
      <c r="DP982" s="93"/>
      <c r="DQ982" s="93"/>
      <c r="DR982" s="93"/>
      <c r="DS982" s="93"/>
      <c r="DT982" s="93"/>
      <c r="DU982" s="93"/>
      <c r="DV982" s="93"/>
      <c r="DW982" s="93"/>
      <c r="DX982" s="93"/>
      <c r="DY982" s="93"/>
      <c r="DZ982" s="93"/>
      <c r="EA982" s="93"/>
      <c r="EB982" s="93"/>
      <c r="EC982" s="93"/>
      <c r="ED982" s="93"/>
      <c r="EE982" s="93"/>
      <c r="EF982" s="93"/>
      <c r="EG982" s="93"/>
      <c r="EH982" s="93"/>
      <c r="EI982" s="93"/>
      <c r="EJ982" s="93"/>
      <c r="EK982" s="93"/>
      <c r="EL982" s="93"/>
      <c r="EM982" s="93"/>
      <c r="EN982" s="93"/>
      <c r="EO982" s="93"/>
      <c r="EP982" s="93"/>
      <c r="EQ982" s="93"/>
      <c r="ER982" s="93"/>
      <c r="ES982" s="93"/>
      <c r="ET982" s="93"/>
      <c r="EU982" s="93"/>
      <c r="EV982" s="93"/>
      <c r="EW982" s="93"/>
      <c r="EX982" s="93"/>
      <c r="EY982" s="93"/>
      <c r="EZ982" s="93"/>
      <c r="FA982" s="93"/>
      <c r="FB982" s="93"/>
      <c r="FC982" s="93"/>
      <c r="FD982" s="93"/>
      <c r="FE982" s="93"/>
      <c r="FF982" s="93"/>
    </row>
    <row r="983" spans="1:162" ht="15.75" customHeight="1">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93"/>
      <c r="BO983" s="93"/>
      <c r="BP983" s="93"/>
      <c r="BQ983" s="93"/>
      <c r="BR983" s="93"/>
      <c r="BS983" s="93"/>
      <c r="BT983" s="93"/>
      <c r="BU983" s="93"/>
      <c r="BV983" s="93"/>
      <c r="BW983" s="93"/>
      <c r="BX983" s="93"/>
      <c r="BY983" s="93"/>
      <c r="BZ983" s="93"/>
      <c r="CA983" s="93"/>
      <c r="CB983" s="93"/>
      <c r="CC983" s="93"/>
      <c r="CD983" s="93"/>
      <c r="CE983" s="93"/>
      <c r="CF983" s="93"/>
      <c r="CG983" s="93"/>
      <c r="CH983" s="93"/>
      <c r="CI983" s="93"/>
      <c r="CJ983" s="93"/>
      <c r="CK983" s="93"/>
      <c r="CL983" s="93"/>
      <c r="CM983" s="93"/>
      <c r="CN983" s="93"/>
      <c r="CO983" s="93"/>
      <c r="CP983" s="93"/>
      <c r="CQ983" s="93"/>
      <c r="CR983" s="93"/>
      <c r="CS983" s="93"/>
      <c r="CT983" s="93"/>
      <c r="CU983" s="93"/>
      <c r="CV983" s="93"/>
      <c r="CW983" s="93"/>
      <c r="CX983" s="93"/>
      <c r="CY983" s="93"/>
      <c r="CZ983" s="93"/>
      <c r="DA983" s="93"/>
      <c r="DB983" s="93"/>
      <c r="DC983" s="93"/>
      <c r="DD983" s="93"/>
      <c r="DE983" s="93"/>
      <c r="DF983" s="93"/>
      <c r="DG983" s="93"/>
      <c r="DH983" s="93"/>
      <c r="DI983" s="93"/>
      <c r="DJ983" s="93"/>
      <c r="DK983" s="93"/>
      <c r="DL983" s="93"/>
      <c r="DM983" s="93"/>
      <c r="DN983" s="93"/>
      <c r="DO983" s="93"/>
      <c r="DP983" s="93"/>
      <c r="DQ983" s="93"/>
      <c r="DR983" s="93"/>
      <c r="DS983" s="93"/>
      <c r="DT983" s="93"/>
      <c r="DU983" s="93"/>
      <c r="DV983" s="93"/>
      <c r="DW983" s="93"/>
      <c r="DX983" s="93"/>
      <c r="DY983" s="93"/>
      <c r="DZ983" s="93"/>
      <c r="EA983" s="93"/>
      <c r="EB983" s="93"/>
      <c r="EC983" s="93"/>
      <c r="ED983" s="93"/>
      <c r="EE983" s="93"/>
      <c r="EF983" s="93"/>
      <c r="EG983" s="93"/>
      <c r="EH983" s="93"/>
      <c r="EI983" s="93"/>
      <c r="EJ983" s="93"/>
      <c r="EK983" s="93"/>
      <c r="EL983" s="93"/>
      <c r="EM983" s="93"/>
      <c r="EN983" s="93"/>
      <c r="EO983" s="93"/>
      <c r="EP983" s="93"/>
      <c r="EQ983" s="93"/>
      <c r="ER983" s="93"/>
      <c r="ES983" s="93"/>
      <c r="ET983" s="93"/>
      <c r="EU983" s="93"/>
      <c r="EV983" s="93"/>
      <c r="EW983" s="93"/>
      <c r="EX983" s="93"/>
      <c r="EY983" s="93"/>
      <c r="EZ983" s="93"/>
      <c r="FA983" s="93"/>
      <c r="FB983" s="93"/>
      <c r="FC983" s="93"/>
      <c r="FD983" s="93"/>
      <c r="FE983" s="93"/>
      <c r="FF983" s="93"/>
    </row>
    <row r="984" spans="1:162" ht="15.75" customHeight="1">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93"/>
      <c r="BO984" s="93"/>
      <c r="BP984" s="93"/>
      <c r="BQ984" s="93"/>
      <c r="BR984" s="93"/>
      <c r="BS984" s="93"/>
      <c r="BT984" s="93"/>
      <c r="BU984" s="93"/>
      <c r="BV984" s="93"/>
      <c r="BW984" s="93"/>
      <c r="BX984" s="93"/>
      <c r="BY984" s="93"/>
      <c r="BZ984" s="93"/>
      <c r="CA984" s="93"/>
      <c r="CB984" s="93"/>
      <c r="CC984" s="93"/>
      <c r="CD984" s="93"/>
      <c r="CE984" s="93"/>
      <c r="CF984" s="93"/>
      <c r="CG984" s="93"/>
      <c r="CH984" s="93"/>
      <c r="CI984" s="93"/>
      <c r="CJ984" s="93"/>
      <c r="CK984" s="93"/>
      <c r="CL984" s="93"/>
      <c r="CM984" s="93"/>
      <c r="CN984" s="93"/>
      <c r="CO984" s="93"/>
      <c r="CP984" s="93"/>
      <c r="CQ984" s="93"/>
      <c r="CR984" s="93"/>
      <c r="CS984" s="93"/>
      <c r="CT984" s="93"/>
      <c r="CU984" s="93"/>
      <c r="CV984" s="93"/>
      <c r="CW984" s="93"/>
      <c r="CX984" s="93"/>
      <c r="CY984" s="93"/>
      <c r="CZ984" s="93"/>
      <c r="DA984" s="93"/>
      <c r="DB984" s="93"/>
      <c r="DC984" s="93"/>
      <c r="DD984" s="93"/>
      <c r="DE984" s="93"/>
      <c r="DF984" s="93"/>
      <c r="DG984" s="93"/>
      <c r="DH984" s="93"/>
      <c r="DI984" s="93"/>
      <c r="DJ984" s="93"/>
      <c r="DK984" s="93"/>
      <c r="DL984" s="93"/>
      <c r="DM984" s="93"/>
      <c r="DN984" s="93"/>
      <c r="DO984" s="93"/>
      <c r="DP984" s="93"/>
      <c r="DQ984" s="93"/>
      <c r="DR984" s="93"/>
      <c r="DS984" s="93"/>
      <c r="DT984" s="93"/>
      <c r="DU984" s="93"/>
      <c r="DV984" s="93"/>
      <c r="DW984" s="93"/>
      <c r="DX984" s="93"/>
      <c r="DY984" s="93"/>
      <c r="DZ984" s="93"/>
      <c r="EA984" s="93"/>
      <c r="EB984" s="93"/>
      <c r="EC984" s="93"/>
      <c r="ED984" s="93"/>
      <c r="EE984" s="93"/>
      <c r="EF984" s="93"/>
      <c r="EG984" s="93"/>
      <c r="EH984" s="93"/>
      <c r="EI984" s="93"/>
      <c r="EJ984" s="93"/>
      <c r="EK984" s="93"/>
      <c r="EL984" s="93"/>
      <c r="EM984" s="93"/>
      <c r="EN984" s="93"/>
      <c r="EO984" s="93"/>
      <c r="EP984" s="93"/>
      <c r="EQ984" s="93"/>
      <c r="ER984" s="93"/>
      <c r="ES984" s="93"/>
      <c r="ET984" s="93"/>
      <c r="EU984" s="93"/>
      <c r="EV984" s="93"/>
      <c r="EW984" s="93"/>
      <c r="EX984" s="93"/>
      <c r="EY984" s="93"/>
      <c r="EZ984" s="93"/>
      <c r="FA984" s="93"/>
      <c r="FB984" s="93"/>
      <c r="FC984" s="93"/>
      <c r="FD984" s="93"/>
      <c r="FE984" s="93"/>
      <c r="FF984" s="93"/>
    </row>
    <row r="985" spans="1:162" ht="15.75" customHeight="1">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93"/>
      <c r="BO985" s="93"/>
      <c r="BP985" s="93"/>
      <c r="BQ985" s="93"/>
      <c r="BR985" s="93"/>
      <c r="BS985" s="93"/>
      <c r="BT985" s="93"/>
      <c r="BU985" s="93"/>
      <c r="BV985" s="93"/>
      <c r="BW985" s="93"/>
      <c r="BX985" s="93"/>
      <c r="BY985" s="93"/>
      <c r="BZ985" s="93"/>
      <c r="CA985" s="93"/>
      <c r="CB985" s="93"/>
      <c r="CC985" s="93"/>
      <c r="CD985" s="93"/>
      <c r="CE985" s="93"/>
      <c r="CF985" s="93"/>
      <c r="CG985" s="93"/>
      <c r="CH985" s="93"/>
      <c r="CI985" s="93"/>
      <c r="CJ985" s="93"/>
      <c r="CK985" s="93"/>
      <c r="CL985" s="93"/>
      <c r="CM985" s="93"/>
      <c r="CN985" s="93"/>
      <c r="CO985" s="93"/>
      <c r="CP985" s="93"/>
      <c r="CQ985" s="93"/>
      <c r="CR985" s="93"/>
      <c r="CS985" s="93"/>
      <c r="CT985" s="93"/>
      <c r="CU985" s="93"/>
      <c r="CV985" s="93"/>
      <c r="CW985" s="93"/>
      <c r="CX985" s="93"/>
      <c r="CY985" s="93"/>
      <c r="CZ985" s="93"/>
      <c r="DA985" s="93"/>
      <c r="DB985" s="93"/>
      <c r="DC985" s="93"/>
      <c r="DD985" s="93"/>
      <c r="DE985" s="93"/>
      <c r="DF985" s="93"/>
      <c r="DG985" s="93"/>
      <c r="DH985" s="93"/>
      <c r="DI985" s="93"/>
      <c r="DJ985" s="93"/>
      <c r="DK985" s="93"/>
      <c r="DL985" s="93"/>
      <c r="DM985" s="93"/>
      <c r="DN985" s="93"/>
      <c r="DO985" s="93"/>
      <c r="DP985" s="93"/>
      <c r="DQ985" s="93"/>
      <c r="DR985" s="93"/>
      <c r="DS985" s="93"/>
      <c r="DT985" s="93"/>
      <c r="DU985" s="93"/>
      <c r="DV985" s="93"/>
      <c r="DW985" s="93"/>
      <c r="DX985" s="93"/>
      <c r="DY985" s="93"/>
      <c r="DZ985" s="93"/>
      <c r="EA985" s="93"/>
      <c r="EB985" s="93"/>
      <c r="EC985" s="93"/>
      <c r="ED985" s="93"/>
      <c r="EE985" s="93"/>
      <c r="EF985" s="93"/>
      <c r="EG985" s="93"/>
      <c r="EH985" s="93"/>
      <c r="EI985" s="93"/>
      <c r="EJ985" s="93"/>
      <c r="EK985" s="93"/>
      <c r="EL985" s="93"/>
      <c r="EM985" s="93"/>
      <c r="EN985" s="93"/>
      <c r="EO985" s="93"/>
      <c r="EP985" s="93"/>
      <c r="EQ985" s="93"/>
      <c r="ER985" s="93"/>
      <c r="ES985" s="93"/>
      <c r="ET985" s="93"/>
      <c r="EU985" s="93"/>
      <c r="EV985" s="93"/>
      <c r="EW985" s="93"/>
      <c r="EX985" s="93"/>
      <c r="EY985" s="93"/>
      <c r="EZ985" s="93"/>
      <c r="FA985" s="93"/>
      <c r="FB985" s="93"/>
      <c r="FC985" s="93"/>
      <c r="FD985" s="93"/>
      <c r="FE985" s="93"/>
      <c r="FF985" s="93"/>
    </row>
    <row r="986" spans="1:162" ht="15.75" customHeight="1">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93"/>
      <c r="BO986" s="93"/>
      <c r="BP986" s="93"/>
      <c r="BQ986" s="93"/>
      <c r="BR986" s="93"/>
      <c r="BS986" s="93"/>
      <c r="BT986" s="93"/>
      <c r="BU986" s="93"/>
      <c r="BV986" s="93"/>
      <c r="BW986" s="93"/>
      <c r="BX986" s="93"/>
      <c r="BY986" s="93"/>
      <c r="BZ986" s="93"/>
      <c r="CA986" s="93"/>
      <c r="CB986" s="93"/>
      <c r="CC986" s="93"/>
      <c r="CD986" s="93"/>
      <c r="CE986" s="93"/>
      <c r="CF986" s="93"/>
      <c r="CG986" s="93"/>
      <c r="CH986" s="93"/>
      <c r="CI986" s="93"/>
      <c r="CJ986" s="93"/>
      <c r="CK986" s="93"/>
      <c r="CL986" s="93"/>
      <c r="CM986" s="93"/>
      <c r="CN986" s="93"/>
      <c r="CO986" s="93"/>
      <c r="CP986" s="93"/>
      <c r="CQ986" s="93"/>
      <c r="CR986" s="93"/>
      <c r="CS986" s="93"/>
      <c r="CT986" s="93"/>
      <c r="CU986" s="93"/>
      <c r="CV986" s="93"/>
      <c r="CW986" s="93"/>
      <c r="CX986" s="93"/>
      <c r="CY986" s="93"/>
      <c r="CZ986" s="93"/>
      <c r="DA986" s="93"/>
      <c r="DB986" s="93"/>
      <c r="DC986" s="93"/>
      <c r="DD986" s="93"/>
      <c r="DE986" s="93"/>
      <c r="DF986" s="93"/>
      <c r="DG986" s="93"/>
      <c r="DH986" s="93"/>
      <c r="DI986" s="93"/>
      <c r="DJ986" s="93"/>
      <c r="DK986" s="93"/>
      <c r="DL986" s="93"/>
      <c r="DM986" s="93"/>
      <c r="DN986" s="93"/>
      <c r="DO986" s="93"/>
      <c r="DP986" s="93"/>
      <c r="DQ986" s="93"/>
      <c r="DR986" s="93"/>
      <c r="DS986" s="93"/>
      <c r="DT986" s="93"/>
      <c r="DU986" s="93"/>
      <c r="DV986" s="93"/>
      <c r="DW986" s="93"/>
      <c r="DX986" s="93"/>
      <c r="DY986" s="93"/>
      <c r="DZ986" s="93"/>
      <c r="EA986" s="93"/>
      <c r="EB986" s="93"/>
      <c r="EC986" s="93"/>
      <c r="ED986" s="93"/>
      <c r="EE986" s="93"/>
      <c r="EF986" s="93"/>
      <c r="EG986" s="93"/>
      <c r="EH986" s="93"/>
      <c r="EI986" s="93"/>
      <c r="EJ986" s="93"/>
      <c r="EK986" s="93"/>
      <c r="EL986" s="93"/>
      <c r="EM986" s="93"/>
      <c r="EN986" s="93"/>
      <c r="EO986" s="93"/>
      <c r="EP986" s="93"/>
      <c r="EQ986" s="93"/>
      <c r="ER986" s="93"/>
      <c r="ES986" s="93"/>
      <c r="ET986" s="93"/>
      <c r="EU986" s="93"/>
      <c r="EV986" s="93"/>
      <c r="EW986" s="93"/>
      <c r="EX986" s="93"/>
      <c r="EY986" s="93"/>
      <c r="EZ986" s="93"/>
      <c r="FA986" s="93"/>
      <c r="FB986" s="93"/>
      <c r="FC986" s="93"/>
      <c r="FD986" s="93"/>
      <c r="FE986" s="93"/>
      <c r="FF986" s="93"/>
    </row>
    <row r="987" spans="1:162" ht="15.75" customHeight="1">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93"/>
      <c r="BO987" s="93"/>
      <c r="BP987" s="93"/>
      <c r="BQ987" s="93"/>
      <c r="BR987" s="93"/>
      <c r="BS987" s="93"/>
      <c r="BT987" s="93"/>
      <c r="BU987" s="93"/>
      <c r="BV987" s="93"/>
      <c r="BW987" s="93"/>
      <c r="BX987" s="93"/>
      <c r="BY987" s="93"/>
      <c r="BZ987" s="93"/>
      <c r="CA987" s="93"/>
      <c r="CB987" s="93"/>
      <c r="CC987" s="93"/>
      <c r="CD987" s="93"/>
      <c r="CE987" s="93"/>
      <c r="CF987" s="93"/>
      <c r="CG987" s="93"/>
      <c r="CH987" s="93"/>
      <c r="CI987" s="93"/>
      <c r="CJ987" s="93"/>
      <c r="CK987" s="93"/>
      <c r="CL987" s="93"/>
      <c r="CM987" s="93"/>
      <c r="CN987" s="93"/>
      <c r="CO987" s="93"/>
      <c r="CP987" s="93"/>
      <c r="CQ987" s="93"/>
      <c r="CR987" s="93"/>
      <c r="CS987" s="93"/>
      <c r="CT987" s="93"/>
      <c r="CU987" s="93"/>
      <c r="CV987" s="93"/>
      <c r="CW987" s="93"/>
      <c r="CX987" s="93"/>
      <c r="CY987" s="93"/>
      <c r="CZ987" s="93"/>
      <c r="DA987" s="93"/>
      <c r="DB987" s="93"/>
      <c r="DC987" s="93"/>
      <c r="DD987" s="93"/>
      <c r="DE987" s="93"/>
      <c r="DF987" s="93"/>
      <c r="DG987" s="93"/>
      <c r="DH987" s="93"/>
      <c r="DI987" s="93"/>
      <c r="DJ987" s="93"/>
      <c r="DK987" s="93"/>
      <c r="DL987" s="93"/>
      <c r="DM987" s="93"/>
      <c r="DN987" s="93"/>
      <c r="DO987" s="93"/>
      <c r="DP987" s="93"/>
      <c r="DQ987" s="93"/>
      <c r="DR987" s="93"/>
      <c r="DS987" s="93"/>
      <c r="DT987" s="93"/>
      <c r="DU987" s="93"/>
      <c r="DV987" s="93"/>
      <c r="DW987" s="93"/>
      <c r="DX987" s="93"/>
      <c r="DY987" s="93"/>
      <c r="DZ987" s="93"/>
      <c r="EA987" s="93"/>
      <c r="EB987" s="93"/>
      <c r="EC987" s="93"/>
      <c r="ED987" s="93"/>
      <c r="EE987" s="93"/>
      <c r="EF987" s="93"/>
      <c r="EG987" s="93"/>
      <c r="EH987" s="93"/>
      <c r="EI987" s="93"/>
      <c r="EJ987" s="93"/>
      <c r="EK987" s="93"/>
      <c r="EL987" s="93"/>
      <c r="EM987" s="93"/>
      <c r="EN987" s="93"/>
      <c r="EO987" s="93"/>
      <c r="EP987" s="93"/>
      <c r="EQ987" s="93"/>
      <c r="ER987" s="93"/>
      <c r="ES987" s="93"/>
      <c r="ET987" s="93"/>
      <c r="EU987" s="93"/>
      <c r="EV987" s="93"/>
      <c r="EW987" s="93"/>
      <c r="EX987" s="93"/>
      <c r="EY987" s="93"/>
      <c r="EZ987" s="93"/>
      <c r="FA987" s="93"/>
      <c r="FB987" s="93"/>
      <c r="FC987" s="93"/>
      <c r="FD987" s="93"/>
      <c r="FE987" s="93"/>
      <c r="FF987" s="93"/>
    </row>
    <row r="988" spans="1:162" ht="15.75" customHeight="1">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93"/>
      <c r="BO988" s="93"/>
      <c r="BP988" s="93"/>
      <c r="BQ988" s="93"/>
      <c r="BR988" s="93"/>
      <c r="BS988" s="93"/>
      <c r="BT988" s="93"/>
      <c r="BU988" s="93"/>
      <c r="BV988" s="93"/>
      <c r="BW988" s="93"/>
      <c r="BX988" s="93"/>
      <c r="BY988" s="93"/>
      <c r="BZ988" s="93"/>
      <c r="CA988" s="93"/>
      <c r="CB988" s="93"/>
      <c r="CC988" s="93"/>
      <c r="CD988" s="93"/>
      <c r="CE988" s="93"/>
      <c r="CF988" s="93"/>
      <c r="CG988" s="93"/>
      <c r="CH988" s="93"/>
      <c r="CI988" s="93"/>
      <c r="CJ988" s="93"/>
      <c r="CK988" s="93"/>
      <c r="CL988" s="93"/>
      <c r="CM988" s="93"/>
      <c r="CN988" s="93"/>
      <c r="CO988" s="93"/>
      <c r="CP988" s="93"/>
      <c r="CQ988" s="93"/>
      <c r="CR988" s="93"/>
      <c r="CS988" s="93"/>
      <c r="CT988" s="93"/>
      <c r="CU988" s="93"/>
      <c r="CV988" s="93"/>
      <c r="CW988" s="93"/>
      <c r="CX988" s="93"/>
      <c r="CY988" s="93"/>
      <c r="CZ988" s="93"/>
      <c r="DA988" s="93"/>
      <c r="DB988" s="93"/>
      <c r="DC988" s="93"/>
      <c r="DD988" s="93"/>
      <c r="DE988" s="93"/>
      <c r="DF988" s="93"/>
      <c r="DG988" s="93"/>
      <c r="DH988" s="93"/>
      <c r="DI988" s="93"/>
      <c r="DJ988" s="93"/>
      <c r="DK988" s="93"/>
      <c r="DL988" s="93"/>
      <c r="DM988" s="93"/>
      <c r="DN988" s="93"/>
      <c r="DO988" s="93"/>
      <c r="DP988" s="93"/>
      <c r="DQ988" s="93"/>
      <c r="DR988" s="93"/>
      <c r="DS988" s="93"/>
      <c r="DT988" s="93"/>
      <c r="DU988" s="93"/>
      <c r="DV988" s="93"/>
      <c r="DW988" s="93"/>
      <c r="DX988" s="93"/>
      <c r="DY988" s="93"/>
      <c r="DZ988" s="93"/>
      <c r="EA988" s="93"/>
      <c r="EB988" s="93"/>
      <c r="EC988" s="93"/>
      <c r="ED988" s="93"/>
      <c r="EE988" s="93"/>
      <c r="EF988" s="93"/>
      <c r="EG988" s="93"/>
      <c r="EH988" s="93"/>
      <c r="EI988" s="93"/>
      <c r="EJ988" s="93"/>
      <c r="EK988" s="93"/>
      <c r="EL988" s="93"/>
      <c r="EM988" s="93"/>
      <c r="EN988" s="93"/>
      <c r="EO988" s="93"/>
      <c r="EP988" s="93"/>
      <c r="EQ988" s="93"/>
      <c r="ER988" s="93"/>
      <c r="ES988" s="93"/>
      <c r="ET988" s="93"/>
      <c r="EU988" s="93"/>
      <c r="EV988" s="93"/>
      <c r="EW988" s="93"/>
      <c r="EX988" s="93"/>
      <c r="EY988" s="93"/>
      <c r="EZ988" s="93"/>
      <c r="FA988" s="93"/>
      <c r="FB988" s="93"/>
      <c r="FC988" s="93"/>
      <c r="FD988" s="93"/>
      <c r="FE988" s="93"/>
      <c r="FF988" s="93"/>
    </row>
    <row r="989" spans="1:162" ht="15.75" customHeight="1">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c r="CC989" s="93"/>
      <c r="CD989" s="93"/>
      <c r="CE989" s="93"/>
      <c r="CF989" s="93"/>
      <c r="CG989" s="93"/>
      <c r="CH989" s="93"/>
      <c r="CI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93"/>
      <c r="DH989" s="93"/>
      <c r="DI989" s="93"/>
      <c r="DJ989" s="93"/>
      <c r="DK989" s="93"/>
      <c r="DL989" s="93"/>
      <c r="DM989" s="93"/>
      <c r="DN989" s="93"/>
      <c r="DO989" s="93"/>
      <c r="DP989" s="93"/>
      <c r="DQ989" s="93"/>
      <c r="DR989" s="93"/>
      <c r="DS989" s="93"/>
      <c r="DT989" s="93"/>
      <c r="DU989" s="93"/>
      <c r="DV989" s="93"/>
      <c r="DW989" s="93"/>
      <c r="DX989" s="93"/>
      <c r="DY989" s="93"/>
      <c r="DZ989" s="93"/>
      <c r="EA989" s="93"/>
      <c r="EB989" s="93"/>
      <c r="EC989" s="93"/>
      <c r="ED989" s="93"/>
      <c r="EE989" s="93"/>
      <c r="EF989" s="93"/>
      <c r="EG989" s="93"/>
      <c r="EH989" s="93"/>
      <c r="EI989" s="93"/>
      <c r="EJ989" s="93"/>
      <c r="EK989" s="93"/>
      <c r="EL989" s="93"/>
      <c r="EM989" s="93"/>
      <c r="EN989" s="93"/>
      <c r="EO989" s="93"/>
      <c r="EP989" s="93"/>
      <c r="EQ989" s="93"/>
      <c r="ER989" s="93"/>
      <c r="ES989" s="93"/>
      <c r="ET989" s="93"/>
      <c r="EU989" s="93"/>
      <c r="EV989" s="93"/>
      <c r="EW989" s="93"/>
      <c r="EX989" s="93"/>
      <c r="EY989" s="93"/>
      <c r="EZ989" s="93"/>
      <c r="FA989" s="93"/>
      <c r="FB989" s="93"/>
      <c r="FC989" s="93"/>
      <c r="FD989" s="93"/>
      <c r="FE989" s="93"/>
      <c r="FF989" s="93"/>
    </row>
    <row r="990" spans="1:162" ht="15.75" customHeight="1">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93"/>
      <c r="BO990" s="93"/>
      <c r="BP990" s="93"/>
      <c r="BQ990" s="93"/>
      <c r="BR990" s="93"/>
      <c r="BS990" s="93"/>
      <c r="BT990" s="93"/>
      <c r="BU990" s="93"/>
      <c r="BV990" s="93"/>
      <c r="BW990" s="93"/>
      <c r="BX990" s="93"/>
      <c r="BY990" s="93"/>
      <c r="BZ990" s="93"/>
      <c r="CA990" s="93"/>
      <c r="CB990" s="93"/>
      <c r="CC990" s="93"/>
      <c r="CD990" s="93"/>
      <c r="CE990" s="93"/>
      <c r="CF990" s="93"/>
      <c r="CG990" s="93"/>
      <c r="CH990" s="93"/>
      <c r="CI990" s="93"/>
      <c r="CJ990" s="93"/>
      <c r="CK990" s="93"/>
      <c r="CL990" s="93"/>
      <c r="CM990" s="93"/>
      <c r="CN990" s="93"/>
      <c r="CO990" s="93"/>
      <c r="CP990" s="93"/>
      <c r="CQ990" s="93"/>
      <c r="CR990" s="93"/>
      <c r="CS990" s="93"/>
      <c r="CT990" s="93"/>
      <c r="CU990" s="93"/>
      <c r="CV990" s="93"/>
      <c r="CW990" s="93"/>
      <c r="CX990" s="93"/>
      <c r="CY990" s="93"/>
      <c r="CZ990" s="93"/>
      <c r="DA990" s="93"/>
      <c r="DB990" s="93"/>
      <c r="DC990" s="93"/>
      <c r="DD990" s="93"/>
      <c r="DE990" s="93"/>
      <c r="DF990" s="93"/>
      <c r="DG990" s="93"/>
      <c r="DH990" s="93"/>
      <c r="DI990" s="93"/>
      <c r="DJ990" s="93"/>
      <c r="DK990" s="93"/>
      <c r="DL990" s="93"/>
      <c r="DM990" s="93"/>
      <c r="DN990" s="93"/>
      <c r="DO990" s="93"/>
      <c r="DP990" s="93"/>
      <c r="DQ990" s="93"/>
      <c r="DR990" s="93"/>
      <c r="DS990" s="93"/>
      <c r="DT990" s="93"/>
      <c r="DU990" s="93"/>
      <c r="DV990" s="93"/>
      <c r="DW990" s="93"/>
      <c r="DX990" s="93"/>
      <c r="DY990" s="93"/>
      <c r="DZ990" s="93"/>
      <c r="EA990" s="93"/>
      <c r="EB990" s="93"/>
      <c r="EC990" s="93"/>
      <c r="ED990" s="93"/>
      <c r="EE990" s="93"/>
      <c r="EF990" s="93"/>
      <c r="EG990" s="93"/>
      <c r="EH990" s="93"/>
      <c r="EI990" s="93"/>
      <c r="EJ990" s="93"/>
      <c r="EK990" s="93"/>
      <c r="EL990" s="93"/>
      <c r="EM990" s="93"/>
      <c r="EN990" s="93"/>
      <c r="EO990" s="93"/>
      <c r="EP990" s="93"/>
      <c r="EQ990" s="93"/>
      <c r="ER990" s="93"/>
      <c r="ES990" s="93"/>
      <c r="ET990" s="93"/>
      <c r="EU990" s="93"/>
      <c r="EV990" s="93"/>
      <c r="EW990" s="93"/>
      <c r="EX990" s="93"/>
      <c r="EY990" s="93"/>
      <c r="EZ990" s="93"/>
      <c r="FA990" s="93"/>
      <c r="FB990" s="93"/>
      <c r="FC990" s="93"/>
      <c r="FD990" s="93"/>
      <c r="FE990" s="93"/>
      <c r="FF990" s="93"/>
    </row>
    <row r="991" spans="1:162" ht="15.75" customHeight="1">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93"/>
      <c r="BO991" s="93"/>
      <c r="BP991" s="93"/>
      <c r="BQ991" s="93"/>
      <c r="BR991" s="93"/>
      <c r="BS991" s="93"/>
      <c r="BT991" s="93"/>
      <c r="BU991" s="93"/>
      <c r="BV991" s="93"/>
      <c r="BW991" s="93"/>
      <c r="BX991" s="93"/>
      <c r="BY991" s="93"/>
      <c r="BZ991" s="93"/>
      <c r="CA991" s="93"/>
      <c r="CB991" s="93"/>
      <c r="CC991" s="93"/>
      <c r="CD991" s="93"/>
      <c r="CE991" s="93"/>
      <c r="CF991" s="93"/>
      <c r="CG991" s="93"/>
      <c r="CH991" s="93"/>
      <c r="CI991" s="93"/>
      <c r="CJ991" s="93"/>
      <c r="CK991" s="93"/>
      <c r="CL991" s="93"/>
      <c r="CM991" s="93"/>
      <c r="CN991" s="93"/>
      <c r="CO991" s="93"/>
      <c r="CP991" s="93"/>
      <c r="CQ991" s="93"/>
      <c r="CR991" s="93"/>
      <c r="CS991" s="93"/>
      <c r="CT991" s="93"/>
      <c r="CU991" s="93"/>
      <c r="CV991" s="93"/>
      <c r="CW991" s="93"/>
      <c r="CX991" s="93"/>
      <c r="CY991" s="93"/>
      <c r="CZ991" s="93"/>
      <c r="DA991" s="93"/>
      <c r="DB991" s="93"/>
      <c r="DC991" s="93"/>
      <c r="DD991" s="93"/>
      <c r="DE991" s="93"/>
      <c r="DF991" s="93"/>
      <c r="DG991" s="93"/>
      <c r="DH991" s="93"/>
      <c r="DI991" s="93"/>
      <c r="DJ991" s="93"/>
      <c r="DK991" s="93"/>
      <c r="DL991" s="93"/>
      <c r="DM991" s="93"/>
      <c r="DN991" s="93"/>
      <c r="DO991" s="93"/>
      <c r="DP991" s="93"/>
      <c r="DQ991" s="93"/>
      <c r="DR991" s="93"/>
      <c r="DS991" s="93"/>
      <c r="DT991" s="93"/>
      <c r="DU991" s="93"/>
      <c r="DV991" s="93"/>
      <c r="DW991" s="93"/>
      <c r="DX991" s="93"/>
      <c r="DY991" s="93"/>
      <c r="DZ991" s="93"/>
      <c r="EA991" s="93"/>
      <c r="EB991" s="93"/>
      <c r="EC991" s="93"/>
      <c r="ED991" s="93"/>
      <c r="EE991" s="93"/>
      <c r="EF991" s="93"/>
      <c r="EG991" s="93"/>
      <c r="EH991" s="93"/>
      <c r="EI991" s="93"/>
      <c r="EJ991" s="93"/>
      <c r="EK991" s="93"/>
      <c r="EL991" s="93"/>
      <c r="EM991" s="93"/>
      <c r="EN991" s="93"/>
      <c r="EO991" s="93"/>
      <c r="EP991" s="93"/>
      <c r="EQ991" s="93"/>
      <c r="ER991" s="93"/>
      <c r="ES991" s="93"/>
      <c r="ET991" s="93"/>
      <c r="EU991" s="93"/>
      <c r="EV991" s="93"/>
      <c r="EW991" s="93"/>
      <c r="EX991" s="93"/>
      <c r="EY991" s="93"/>
      <c r="EZ991" s="93"/>
      <c r="FA991" s="93"/>
      <c r="FB991" s="93"/>
      <c r="FC991" s="93"/>
      <c r="FD991" s="93"/>
      <c r="FE991" s="93"/>
      <c r="FF991" s="93"/>
    </row>
    <row r="992" spans="1:162" ht="15.75" customHeight="1">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c r="BG992" s="93"/>
      <c r="BH992" s="93"/>
      <c r="BI992" s="93"/>
      <c r="BJ992" s="93"/>
      <c r="BK992" s="93"/>
      <c r="BL992" s="93"/>
      <c r="BM992" s="93"/>
      <c r="BN992" s="93"/>
      <c r="BO992" s="93"/>
      <c r="BP992" s="93"/>
      <c r="BQ992" s="93"/>
      <c r="BR992" s="93"/>
      <c r="BS992" s="93"/>
      <c r="BT992" s="93"/>
      <c r="BU992" s="93"/>
      <c r="BV992" s="93"/>
      <c r="BW992" s="93"/>
      <c r="BX992" s="93"/>
      <c r="BY992" s="93"/>
      <c r="BZ992" s="93"/>
      <c r="CA992" s="93"/>
      <c r="CB992" s="93"/>
      <c r="CC992" s="93"/>
      <c r="CD992" s="93"/>
      <c r="CE992" s="93"/>
      <c r="CF992" s="93"/>
      <c r="CG992" s="93"/>
      <c r="CH992" s="93"/>
      <c r="CI992" s="93"/>
      <c r="CJ992" s="93"/>
      <c r="CK992" s="93"/>
      <c r="CL992" s="93"/>
      <c r="CM992" s="93"/>
      <c r="CN992" s="93"/>
      <c r="CO992" s="93"/>
      <c r="CP992" s="93"/>
      <c r="CQ992" s="93"/>
      <c r="CR992" s="93"/>
      <c r="CS992" s="93"/>
      <c r="CT992" s="93"/>
      <c r="CU992" s="93"/>
      <c r="CV992" s="93"/>
      <c r="CW992" s="93"/>
      <c r="CX992" s="93"/>
      <c r="CY992" s="93"/>
      <c r="CZ992" s="93"/>
      <c r="DA992" s="93"/>
      <c r="DB992" s="93"/>
      <c r="DC992" s="93"/>
      <c r="DD992" s="93"/>
      <c r="DE992" s="93"/>
      <c r="DF992" s="93"/>
      <c r="DG992" s="93"/>
      <c r="DH992" s="93"/>
      <c r="DI992" s="93"/>
      <c r="DJ992" s="93"/>
      <c r="DK992" s="93"/>
      <c r="DL992" s="93"/>
      <c r="DM992" s="93"/>
      <c r="DN992" s="93"/>
      <c r="DO992" s="93"/>
      <c r="DP992" s="93"/>
      <c r="DQ992" s="93"/>
      <c r="DR992" s="93"/>
      <c r="DS992" s="93"/>
      <c r="DT992" s="93"/>
      <c r="DU992" s="93"/>
      <c r="DV992" s="93"/>
      <c r="DW992" s="93"/>
      <c r="DX992" s="93"/>
      <c r="DY992" s="93"/>
      <c r="DZ992" s="93"/>
      <c r="EA992" s="93"/>
      <c r="EB992" s="93"/>
      <c r="EC992" s="93"/>
      <c r="ED992" s="93"/>
      <c r="EE992" s="93"/>
      <c r="EF992" s="93"/>
      <c r="EG992" s="93"/>
      <c r="EH992" s="93"/>
      <c r="EI992" s="93"/>
      <c r="EJ992" s="93"/>
      <c r="EK992" s="93"/>
      <c r="EL992" s="93"/>
      <c r="EM992" s="93"/>
      <c r="EN992" s="93"/>
      <c r="EO992" s="93"/>
      <c r="EP992" s="93"/>
      <c r="EQ992" s="93"/>
      <c r="ER992" s="93"/>
      <c r="ES992" s="93"/>
      <c r="ET992" s="93"/>
      <c r="EU992" s="93"/>
      <c r="EV992" s="93"/>
      <c r="EW992" s="93"/>
      <c r="EX992" s="93"/>
      <c r="EY992" s="93"/>
      <c r="EZ992" s="93"/>
      <c r="FA992" s="93"/>
      <c r="FB992" s="93"/>
      <c r="FC992" s="93"/>
      <c r="FD992" s="93"/>
      <c r="FE992" s="93"/>
      <c r="FF992" s="93"/>
    </row>
    <row r="993" spans="1:162" ht="15.75" customHeight="1">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c r="BG993" s="93"/>
      <c r="BH993" s="93"/>
      <c r="BI993" s="93"/>
      <c r="BJ993" s="93"/>
      <c r="BK993" s="93"/>
      <c r="BL993" s="93"/>
      <c r="BM993" s="93"/>
      <c r="BN993" s="93"/>
      <c r="BO993" s="93"/>
      <c r="BP993" s="93"/>
      <c r="BQ993" s="93"/>
      <c r="BR993" s="93"/>
      <c r="BS993" s="93"/>
      <c r="BT993" s="93"/>
      <c r="BU993" s="93"/>
      <c r="BV993" s="93"/>
      <c r="BW993" s="93"/>
      <c r="BX993" s="93"/>
      <c r="BY993" s="93"/>
      <c r="BZ993" s="93"/>
      <c r="CA993" s="93"/>
      <c r="CB993" s="93"/>
      <c r="CC993" s="93"/>
      <c r="CD993" s="93"/>
      <c r="CE993" s="93"/>
      <c r="CF993" s="93"/>
      <c r="CG993" s="93"/>
      <c r="CH993" s="93"/>
      <c r="CI993" s="93"/>
      <c r="CJ993" s="93"/>
      <c r="CK993" s="93"/>
      <c r="CL993" s="93"/>
      <c r="CM993" s="93"/>
      <c r="CN993" s="93"/>
      <c r="CO993" s="93"/>
      <c r="CP993" s="93"/>
      <c r="CQ993" s="93"/>
      <c r="CR993" s="93"/>
      <c r="CS993" s="93"/>
      <c r="CT993" s="93"/>
      <c r="CU993" s="93"/>
      <c r="CV993" s="93"/>
      <c r="CW993" s="93"/>
      <c r="CX993" s="93"/>
      <c r="CY993" s="93"/>
      <c r="CZ993" s="93"/>
      <c r="DA993" s="93"/>
      <c r="DB993" s="93"/>
      <c r="DC993" s="93"/>
      <c r="DD993" s="93"/>
      <c r="DE993" s="93"/>
      <c r="DF993" s="93"/>
      <c r="DG993" s="93"/>
      <c r="DH993" s="93"/>
      <c r="DI993" s="93"/>
      <c r="DJ993" s="93"/>
      <c r="DK993" s="93"/>
      <c r="DL993" s="93"/>
      <c r="DM993" s="93"/>
      <c r="DN993" s="93"/>
      <c r="DO993" s="93"/>
      <c r="DP993" s="93"/>
      <c r="DQ993" s="93"/>
      <c r="DR993" s="93"/>
      <c r="DS993" s="93"/>
      <c r="DT993" s="93"/>
      <c r="DU993" s="93"/>
      <c r="DV993" s="93"/>
      <c r="DW993" s="93"/>
      <c r="DX993" s="93"/>
      <c r="DY993" s="93"/>
      <c r="DZ993" s="93"/>
      <c r="EA993" s="93"/>
      <c r="EB993" s="93"/>
      <c r="EC993" s="93"/>
      <c r="ED993" s="93"/>
      <c r="EE993" s="93"/>
      <c r="EF993" s="93"/>
      <c r="EG993" s="93"/>
      <c r="EH993" s="93"/>
      <c r="EI993" s="93"/>
      <c r="EJ993" s="93"/>
      <c r="EK993" s="93"/>
      <c r="EL993" s="93"/>
      <c r="EM993" s="93"/>
      <c r="EN993" s="93"/>
      <c r="EO993" s="93"/>
      <c r="EP993" s="93"/>
      <c r="EQ993" s="93"/>
      <c r="ER993" s="93"/>
      <c r="ES993" s="93"/>
      <c r="ET993" s="93"/>
      <c r="EU993" s="93"/>
      <c r="EV993" s="93"/>
      <c r="EW993" s="93"/>
      <c r="EX993" s="93"/>
      <c r="EY993" s="93"/>
      <c r="EZ993" s="93"/>
      <c r="FA993" s="93"/>
      <c r="FB993" s="93"/>
      <c r="FC993" s="93"/>
      <c r="FD993" s="93"/>
      <c r="FE993" s="93"/>
      <c r="FF993" s="93"/>
    </row>
    <row r="994" spans="1:162" ht="15.75" customHeight="1">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93"/>
      <c r="BO994" s="93"/>
      <c r="BP994" s="93"/>
      <c r="BQ994" s="93"/>
      <c r="BR994" s="93"/>
      <c r="BS994" s="93"/>
      <c r="BT994" s="93"/>
      <c r="BU994" s="93"/>
      <c r="BV994" s="93"/>
      <c r="BW994" s="93"/>
      <c r="BX994" s="93"/>
      <c r="BY994" s="93"/>
      <c r="BZ994" s="93"/>
      <c r="CA994" s="93"/>
      <c r="CB994" s="93"/>
      <c r="CC994" s="93"/>
      <c r="CD994" s="93"/>
      <c r="CE994" s="93"/>
      <c r="CF994" s="93"/>
      <c r="CG994" s="93"/>
      <c r="CH994" s="93"/>
      <c r="CI994" s="93"/>
      <c r="CJ994" s="93"/>
      <c r="CK994" s="93"/>
      <c r="CL994" s="93"/>
      <c r="CM994" s="93"/>
      <c r="CN994" s="93"/>
      <c r="CO994" s="93"/>
      <c r="CP994" s="93"/>
      <c r="CQ994" s="93"/>
      <c r="CR994" s="93"/>
      <c r="CS994" s="93"/>
      <c r="CT994" s="93"/>
      <c r="CU994" s="93"/>
      <c r="CV994" s="93"/>
      <c r="CW994" s="93"/>
      <c r="CX994" s="93"/>
      <c r="CY994" s="93"/>
      <c r="CZ994" s="93"/>
      <c r="DA994" s="93"/>
      <c r="DB994" s="93"/>
      <c r="DC994" s="93"/>
      <c r="DD994" s="93"/>
      <c r="DE994" s="93"/>
      <c r="DF994" s="93"/>
      <c r="DG994" s="93"/>
      <c r="DH994" s="93"/>
      <c r="DI994" s="93"/>
      <c r="DJ994" s="93"/>
      <c r="DK994" s="93"/>
      <c r="DL994" s="93"/>
      <c r="DM994" s="93"/>
      <c r="DN994" s="93"/>
      <c r="DO994" s="93"/>
      <c r="DP994" s="93"/>
      <c r="DQ994" s="93"/>
      <c r="DR994" s="93"/>
      <c r="DS994" s="93"/>
      <c r="DT994" s="93"/>
      <c r="DU994" s="93"/>
      <c r="DV994" s="93"/>
      <c r="DW994" s="93"/>
      <c r="DX994" s="93"/>
      <c r="DY994" s="93"/>
      <c r="DZ994" s="93"/>
      <c r="EA994" s="93"/>
      <c r="EB994" s="93"/>
      <c r="EC994" s="93"/>
      <c r="ED994" s="93"/>
      <c r="EE994" s="93"/>
      <c r="EF994" s="93"/>
      <c r="EG994" s="93"/>
      <c r="EH994" s="93"/>
      <c r="EI994" s="93"/>
      <c r="EJ994" s="93"/>
      <c r="EK994" s="93"/>
      <c r="EL994" s="93"/>
      <c r="EM994" s="93"/>
      <c r="EN994" s="93"/>
      <c r="EO994" s="93"/>
      <c r="EP994" s="93"/>
      <c r="EQ994" s="93"/>
      <c r="ER994" s="93"/>
      <c r="ES994" s="93"/>
      <c r="ET994" s="93"/>
      <c r="EU994" s="93"/>
      <c r="EV994" s="93"/>
      <c r="EW994" s="93"/>
      <c r="EX994" s="93"/>
      <c r="EY994" s="93"/>
      <c r="EZ994" s="93"/>
      <c r="FA994" s="93"/>
      <c r="FB994" s="93"/>
      <c r="FC994" s="93"/>
      <c r="FD994" s="93"/>
      <c r="FE994" s="93"/>
      <c r="FF994" s="93"/>
    </row>
    <row r="995" spans="1:162" ht="15.75" customHeight="1">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c r="BG995" s="93"/>
      <c r="BH995" s="93"/>
      <c r="BI995" s="93"/>
      <c r="BJ995" s="93"/>
      <c r="BK995" s="93"/>
      <c r="BL995" s="93"/>
      <c r="BM995" s="93"/>
      <c r="BN995" s="93"/>
      <c r="BO995" s="93"/>
      <c r="BP995" s="93"/>
      <c r="BQ995" s="93"/>
      <c r="BR995" s="93"/>
      <c r="BS995" s="93"/>
      <c r="BT995" s="93"/>
      <c r="BU995" s="93"/>
      <c r="BV995" s="93"/>
      <c r="BW995" s="93"/>
      <c r="BX995" s="93"/>
      <c r="BY995" s="93"/>
      <c r="BZ995" s="93"/>
      <c r="CA995" s="93"/>
      <c r="CB995" s="93"/>
      <c r="CC995" s="93"/>
      <c r="CD995" s="93"/>
      <c r="CE995" s="93"/>
      <c r="CF995" s="93"/>
      <c r="CG995" s="93"/>
      <c r="CH995" s="93"/>
      <c r="CI995" s="93"/>
      <c r="CJ995" s="93"/>
      <c r="CK995" s="93"/>
      <c r="CL995" s="93"/>
      <c r="CM995" s="93"/>
      <c r="CN995" s="93"/>
      <c r="CO995" s="93"/>
      <c r="CP995" s="93"/>
      <c r="CQ995" s="93"/>
      <c r="CR995" s="93"/>
      <c r="CS995" s="93"/>
      <c r="CT995" s="93"/>
      <c r="CU995" s="93"/>
      <c r="CV995" s="93"/>
      <c r="CW995" s="93"/>
      <c r="CX995" s="93"/>
      <c r="CY995" s="93"/>
      <c r="CZ995" s="93"/>
      <c r="DA995" s="93"/>
      <c r="DB995" s="93"/>
      <c r="DC995" s="93"/>
      <c r="DD995" s="93"/>
      <c r="DE995" s="93"/>
      <c r="DF995" s="93"/>
      <c r="DG995" s="93"/>
      <c r="DH995" s="93"/>
      <c r="DI995" s="93"/>
      <c r="DJ995" s="93"/>
      <c r="DK995" s="93"/>
      <c r="DL995" s="93"/>
      <c r="DM995" s="93"/>
      <c r="DN995" s="93"/>
      <c r="DO995" s="93"/>
      <c r="DP995" s="93"/>
      <c r="DQ995" s="93"/>
      <c r="DR995" s="93"/>
      <c r="DS995" s="93"/>
      <c r="DT995" s="93"/>
      <c r="DU995" s="93"/>
      <c r="DV995" s="93"/>
      <c r="DW995" s="93"/>
      <c r="DX995" s="93"/>
      <c r="DY995" s="93"/>
      <c r="DZ995" s="93"/>
      <c r="EA995" s="93"/>
      <c r="EB995" s="93"/>
      <c r="EC995" s="93"/>
      <c r="ED995" s="93"/>
      <c r="EE995" s="93"/>
      <c r="EF995" s="93"/>
      <c r="EG995" s="93"/>
      <c r="EH995" s="93"/>
      <c r="EI995" s="93"/>
      <c r="EJ995" s="93"/>
      <c r="EK995" s="93"/>
      <c r="EL995" s="93"/>
      <c r="EM995" s="93"/>
      <c r="EN995" s="93"/>
      <c r="EO995" s="93"/>
      <c r="EP995" s="93"/>
      <c r="EQ995" s="93"/>
      <c r="ER995" s="93"/>
      <c r="ES995" s="93"/>
      <c r="ET995" s="93"/>
      <c r="EU995" s="93"/>
      <c r="EV995" s="93"/>
      <c r="EW995" s="93"/>
      <c r="EX995" s="93"/>
      <c r="EY995" s="93"/>
      <c r="EZ995" s="93"/>
      <c r="FA995" s="93"/>
      <c r="FB995" s="93"/>
      <c r="FC995" s="93"/>
      <c r="FD995" s="93"/>
      <c r="FE995" s="93"/>
      <c r="FF995" s="93"/>
    </row>
    <row r="996" spans="1:162" ht="15.75" customHeight="1">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c r="BG996" s="93"/>
      <c r="BH996" s="93"/>
      <c r="BI996" s="93"/>
      <c r="BJ996" s="93"/>
      <c r="BK996" s="93"/>
      <c r="BL996" s="93"/>
      <c r="BM996" s="93"/>
      <c r="BN996" s="93"/>
      <c r="BO996" s="93"/>
      <c r="BP996" s="93"/>
      <c r="BQ996" s="93"/>
      <c r="BR996" s="93"/>
      <c r="BS996" s="93"/>
      <c r="BT996" s="93"/>
      <c r="BU996" s="93"/>
      <c r="BV996" s="93"/>
      <c r="BW996" s="93"/>
      <c r="BX996" s="93"/>
      <c r="BY996" s="93"/>
      <c r="BZ996" s="93"/>
      <c r="CA996" s="93"/>
      <c r="CB996" s="93"/>
      <c r="CC996" s="93"/>
      <c r="CD996" s="93"/>
      <c r="CE996" s="93"/>
      <c r="CF996" s="93"/>
      <c r="CG996" s="93"/>
      <c r="CH996" s="93"/>
      <c r="CI996" s="93"/>
      <c r="CJ996" s="93"/>
      <c r="CK996" s="93"/>
      <c r="CL996" s="93"/>
      <c r="CM996" s="93"/>
      <c r="CN996" s="93"/>
      <c r="CO996" s="93"/>
      <c r="CP996" s="93"/>
      <c r="CQ996" s="93"/>
      <c r="CR996" s="93"/>
      <c r="CS996" s="93"/>
      <c r="CT996" s="93"/>
      <c r="CU996" s="93"/>
      <c r="CV996" s="93"/>
      <c r="CW996" s="93"/>
      <c r="CX996" s="93"/>
      <c r="CY996" s="93"/>
      <c r="CZ996" s="93"/>
      <c r="DA996" s="93"/>
      <c r="DB996" s="93"/>
      <c r="DC996" s="93"/>
      <c r="DD996" s="93"/>
      <c r="DE996" s="93"/>
      <c r="DF996" s="93"/>
      <c r="DG996" s="93"/>
      <c r="DH996" s="93"/>
      <c r="DI996" s="93"/>
      <c r="DJ996" s="93"/>
      <c r="DK996" s="93"/>
      <c r="DL996" s="93"/>
      <c r="DM996" s="93"/>
      <c r="DN996" s="93"/>
      <c r="DO996" s="93"/>
      <c r="DP996" s="93"/>
      <c r="DQ996" s="93"/>
      <c r="DR996" s="93"/>
      <c r="DS996" s="93"/>
      <c r="DT996" s="93"/>
      <c r="DU996" s="93"/>
      <c r="DV996" s="93"/>
      <c r="DW996" s="93"/>
      <c r="DX996" s="93"/>
      <c r="DY996" s="93"/>
      <c r="DZ996" s="93"/>
      <c r="EA996" s="93"/>
      <c r="EB996" s="93"/>
      <c r="EC996" s="93"/>
      <c r="ED996" s="93"/>
      <c r="EE996" s="93"/>
      <c r="EF996" s="93"/>
      <c r="EG996" s="93"/>
      <c r="EH996" s="93"/>
      <c r="EI996" s="93"/>
      <c r="EJ996" s="93"/>
      <c r="EK996" s="93"/>
      <c r="EL996" s="93"/>
      <c r="EM996" s="93"/>
      <c r="EN996" s="93"/>
      <c r="EO996" s="93"/>
      <c r="EP996" s="93"/>
      <c r="EQ996" s="93"/>
      <c r="ER996" s="93"/>
      <c r="ES996" s="93"/>
      <c r="ET996" s="93"/>
      <c r="EU996" s="93"/>
      <c r="EV996" s="93"/>
      <c r="EW996" s="93"/>
      <c r="EX996" s="93"/>
      <c r="EY996" s="93"/>
      <c r="EZ996" s="93"/>
      <c r="FA996" s="93"/>
      <c r="FB996" s="93"/>
      <c r="FC996" s="93"/>
      <c r="FD996" s="93"/>
      <c r="FE996" s="93"/>
      <c r="FF996" s="93"/>
    </row>
    <row r="997" spans="1:162" ht="15.75" customHeight="1">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93"/>
      <c r="AV997" s="93"/>
      <c r="AW997" s="93"/>
      <c r="AX997" s="93"/>
      <c r="AY997" s="93"/>
      <c r="AZ997" s="93"/>
      <c r="BA997" s="93"/>
      <c r="BB997" s="93"/>
      <c r="BC997" s="93"/>
      <c r="BD997" s="93"/>
      <c r="BE997" s="93"/>
      <c r="BF997" s="93"/>
      <c r="BG997" s="93"/>
      <c r="BH997" s="93"/>
      <c r="BI997" s="93"/>
      <c r="BJ997" s="93"/>
      <c r="BK997" s="93"/>
      <c r="BL997" s="93"/>
      <c r="BM997" s="93"/>
      <c r="BN997" s="93"/>
      <c r="BO997" s="93"/>
      <c r="BP997" s="93"/>
      <c r="BQ997" s="93"/>
      <c r="BR997" s="93"/>
      <c r="BS997" s="93"/>
      <c r="BT997" s="93"/>
      <c r="BU997" s="93"/>
      <c r="BV997" s="93"/>
      <c r="BW997" s="93"/>
      <c r="BX997" s="93"/>
      <c r="BY997" s="93"/>
      <c r="BZ997" s="93"/>
      <c r="CA997" s="93"/>
      <c r="CB997" s="93"/>
      <c r="CC997" s="93"/>
      <c r="CD997" s="93"/>
      <c r="CE997" s="93"/>
      <c r="CF997" s="93"/>
      <c r="CG997" s="93"/>
      <c r="CH997" s="93"/>
      <c r="CI997" s="93"/>
      <c r="CJ997" s="93"/>
      <c r="CK997" s="93"/>
      <c r="CL997" s="93"/>
      <c r="CM997" s="93"/>
      <c r="CN997" s="93"/>
      <c r="CO997" s="93"/>
      <c r="CP997" s="93"/>
      <c r="CQ997" s="93"/>
      <c r="CR997" s="93"/>
      <c r="CS997" s="93"/>
      <c r="CT997" s="93"/>
      <c r="CU997" s="93"/>
      <c r="CV997" s="93"/>
      <c r="CW997" s="93"/>
      <c r="CX997" s="93"/>
      <c r="CY997" s="93"/>
      <c r="CZ997" s="93"/>
      <c r="DA997" s="93"/>
      <c r="DB997" s="93"/>
      <c r="DC997" s="93"/>
      <c r="DD997" s="93"/>
      <c r="DE997" s="93"/>
      <c r="DF997" s="93"/>
      <c r="DG997" s="93"/>
      <c r="DH997" s="93"/>
      <c r="DI997" s="93"/>
      <c r="DJ997" s="93"/>
      <c r="DK997" s="93"/>
      <c r="DL997" s="93"/>
      <c r="DM997" s="93"/>
      <c r="DN997" s="93"/>
      <c r="DO997" s="93"/>
      <c r="DP997" s="93"/>
      <c r="DQ997" s="93"/>
      <c r="DR997" s="93"/>
      <c r="DS997" s="93"/>
      <c r="DT997" s="93"/>
      <c r="DU997" s="93"/>
      <c r="DV997" s="93"/>
      <c r="DW997" s="93"/>
      <c r="DX997" s="93"/>
      <c r="DY997" s="93"/>
      <c r="DZ997" s="93"/>
      <c r="EA997" s="93"/>
      <c r="EB997" s="93"/>
      <c r="EC997" s="93"/>
      <c r="ED997" s="93"/>
      <c r="EE997" s="93"/>
      <c r="EF997" s="93"/>
      <c r="EG997" s="93"/>
      <c r="EH997" s="93"/>
      <c r="EI997" s="93"/>
      <c r="EJ997" s="93"/>
      <c r="EK997" s="93"/>
      <c r="EL997" s="93"/>
      <c r="EM997" s="93"/>
      <c r="EN997" s="93"/>
      <c r="EO997" s="93"/>
      <c r="EP997" s="93"/>
      <c r="EQ997" s="93"/>
      <c r="ER997" s="93"/>
      <c r="ES997" s="93"/>
      <c r="ET997" s="93"/>
      <c r="EU997" s="93"/>
      <c r="EV997" s="93"/>
      <c r="EW997" s="93"/>
      <c r="EX997" s="93"/>
      <c r="EY997" s="93"/>
      <c r="EZ997" s="93"/>
      <c r="FA997" s="93"/>
      <c r="FB997" s="93"/>
      <c r="FC997" s="93"/>
      <c r="FD997" s="93"/>
      <c r="FE997" s="93"/>
      <c r="FF997" s="93"/>
    </row>
    <row r="998" spans="1:162" ht="15.75" customHeight="1">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c r="BG998" s="93"/>
      <c r="BH998" s="93"/>
      <c r="BI998" s="93"/>
      <c r="BJ998" s="93"/>
      <c r="BK998" s="93"/>
      <c r="BL998" s="93"/>
      <c r="BM998" s="93"/>
      <c r="BN998" s="93"/>
      <c r="BO998" s="93"/>
      <c r="BP998" s="93"/>
      <c r="BQ998" s="93"/>
      <c r="BR998" s="93"/>
      <c r="BS998" s="93"/>
      <c r="BT998" s="93"/>
      <c r="BU998" s="93"/>
      <c r="BV998" s="93"/>
      <c r="BW998" s="93"/>
      <c r="BX998" s="93"/>
      <c r="BY998" s="93"/>
      <c r="BZ998" s="93"/>
      <c r="CA998" s="93"/>
      <c r="CB998" s="93"/>
      <c r="CC998" s="93"/>
      <c r="CD998" s="93"/>
      <c r="CE998" s="93"/>
      <c r="CF998" s="93"/>
      <c r="CG998" s="93"/>
      <c r="CH998" s="93"/>
      <c r="CI998" s="93"/>
      <c r="CJ998" s="93"/>
      <c r="CK998" s="93"/>
      <c r="CL998" s="93"/>
      <c r="CM998" s="93"/>
      <c r="CN998" s="93"/>
      <c r="CO998" s="93"/>
      <c r="CP998" s="93"/>
      <c r="CQ998" s="93"/>
      <c r="CR998" s="93"/>
      <c r="CS998" s="93"/>
      <c r="CT998" s="93"/>
      <c r="CU998" s="93"/>
      <c r="CV998" s="93"/>
      <c r="CW998" s="93"/>
      <c r="CX998" s="93"/>
      <c r="CY998" s="93"/>
      <c r="CZ998" s="93"/>
      <c r="DA998" s="93"/>
      <c r="DB998" s="93"/>
      <c r="DC998" s="93"/>
      <c r="DD998" s="93"/>
      <c r="DE998" s="93"/>
      <c r="DF998" s="93"/>
      <c r="DG998" s="93"/>
      <c r="DH998" s="93"/>
      <c r="DI998" s="93"/>
      <c r="DJ998" s="93"/>
      <c r="DK998" s="93"/>
      <c r="DL998" s="93"/>
      <c r="DM998" s="93"/>
      <c r="DN998" s="93"/>
      <c r="DO998" s="93"/>
      <c r="DP998" s="93"/>
      <c r="DQ998" s="93"/>
      <c r="DR998" s="93"/>
      <c r="DS998" s="93"/>
      <c r="DT998" s="93"/>
      <c r="DU998" s="93"/>
      <c r="DV998" s="93"/>
      <c r="DW998" s="93"/>
      <c r="DX998" s="93"/>
      <c r="DY998" s="93"/>
      <c r="DZ998" s="93"/>
      <c r="EA998" s="93"/>
      <c r="EB998" s="93"/>
      <c r="EC998" s="93"/>
      <c r="ED998" s="93"/>
      <c r="EE998" s="93"/>
      <c r="EF998" s="93"/>
      <c r="EG998" s="93"/>
      <c r="EH998" s="93"/>
      <c r="EI998" s="93"/>
      <c r="EJ998" s="93"/>
      <c r="EK998" s="93"/>
      <c r="EL998" s="93"/>
      <c r="EM998" s="93"/>
      <c r="EN998" s="93"/>
      <c r="EO998" s="93"/>
      <c r="EP998" s="93"/>
      <c r="EQ998" s="93"/>
      <c r="ER998" s="93"/>
      <c r="ES998" s="93"/>
      <c r="ET998" s="93"/>
      <c r="EU998" s="93"/>
      <c r="EV998" s="93"/>
      <c r="EW998" s="93"/>
      <c r="EX998" s="93"/>
      <c r="EY998" s="93"/>
      <c r="EZ998" s="93"/>
      <c r="FA998" s="93"/>
      <c r="FB998" s="93"/>
      <c r="FC998" s="93"/>
      <c r="FD998" s="93"/>
      <c r="FE998" s="93"/>
      <c r="FF998" s="93"/>
    </row>
    <row r="999" spans="1:162" ht="15.75" customHeight="1">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93"/>
      <c r="AV999" s="93"/>
      <c r="AW999" s="93"/>
      <c r="AX999" s="93"/>
      <c r="AY999" s="93"/>
      <c r="AZ999" s="93"/>
      <c r="BA999" s="93"/>
      <c r="BB999" s="93"/>
      <c r="BC999" s="93"/>
      <c r="BD999" s="93"/>
      <c r="BE999" s="93"/>
      <c r="BF999" s="93"/>
      <c r="BG999" s="93"/>
      <c r="BH999" s="93"/>
      <c r="BI999" s="93"/>
      <c r="BJ999" s="93"/>
      <c r="BK999" s="93"/>
      <c r="BL999" s="93"/>
      <c r="BM999" s="93"/>
      <c r="BN999" s="93"/>
      <c r="BO999" s="93"/>
      <c r="BP999" s="93"/>
      <c r="BQ999" s="93"/>
      <c r="BR999" s="93"/>
      <c r="BS999" s="93"/>
      <c r="BT999" s="93"/>
      <c r="BU999" s="93"/>
      <c r="BV999" s="93"/>
      <c r="BW999" s="93"/>
      <c r="BX999" s="93"/>
      <c r="BY999" s="93"/>
      <c r="BZ999" s="93"/>
      <c r="CA999" s="93"/>
      <c r="CB999" s="93"/>
      <c r="CC999" s="93"/>
      <c r="CD999" s="93"/>
      <c r="CE999" s="93"/>
      <c r="CF999" s="93"/>
      <c r="CG999" s="93"/>
      <c r="CH999" s="93"/>
      <c r="CI999" s="93"/>
      <c r="CJ999" s="93"/>
      <c r="CK999" s="93"/>
      <c r="CL999" s="93"/>
      <c r="CM999" s="93"/>
      <c r="CN999" s="93"/>
      <c r="CO999" s="93"/>
      <c r="CP999" s="93"/>
      <c r="CQ999" s="93"/>
      <c r="CR999" s="93"/>
      <c r="CS999" s="93"/>
      <c r="CT999" s="93"/>
      <c r="CU999" s="93"/>
      <c r="CV999" s="93"/>
      <c r="CW999" s="93"/>
      <c r="CX999" s="93"/>
      <c r="CY999" s="93"/>
      <c r="CZ999" s="93"/>
      <c r="DA999" s="93"/>
      <c r="DB999" s="93"/>
      <c r="DC999" s="93"/>
      <c r="DD999" s="93"/>
      <c r="DE999" s="93"/>
      <c r="DF999" s="93"/>
      <c r="DG999" s="93"/>
      <c r="DH999" s="93"/>
      <c r="DI999" s="93"/>
      <c r="DJ999" s="93"/>
      <c r="DK999" s="93"/>
      <c r="DL999" s="93"/>
      <c r="DM999" s="93"/>
      <c r="DN999" s="93"/>
      <c r="DO999" s="93"/>
      <c r="DP999" s="93"/>
      <c r="DQ999" s="93"/>
      <c r="DR999" s="93"/>
      <c r="DS999" s="93"/>
      <c r="DT999" s="93"/>
      <c r="DU999" s="93"/>
      <c r="DV999" s="93"/>
      <c r="DW999" s="93"/>
      <c r="DX999" s="93"/>
      <c r="DY999" s="93"/>
      <c r="DZ999" s="93"/>
      <c r="EA999" s="93"/>
      <c r="EB999" s="93"/>
      <c r="EC999" s="93"/>
      <c r="ED999" s="93"/>
      <c r="EE999" s="93"/>
      <c r="EF999" s="93"/>
      <c r="EG999" s="93"/>
      <c r="EH999" s="93"/>
      <c r="EI999" s="93"/>
      <c r="EJ999" s="93"/>
      <c r="EK999" s="93"/>
      <c r="EL999" s="93"/>
      <c r="EM999" s="93"/>
      <c r="EN999" s="93"/>
      <c r="EO999" s="93"/>
      <c r="EP999" s="93"/>
      <c r="EQ999" s="93"/>
      <c r="ER999" s="93"/>
      <c r="ES999" s="93"/>
      <c r="ET999" s="93"/>
      <c r="EU999" s="93"/>
      <c r="EV999" s="93"/>
      <c r="EW999" s="93"/>
      <c r="EX999" s="93"/>
      <c r="EY999" s="93"/>
      <c r="EZ999" s="93"/>
      <c r="FA999" s="93"/>
      <c r="FB999" s="93"/>
      <c r="FC999" s="93"/>
      <c r="FD999" s="93"/>
      <c r="FE999" s="93"/>
      <c r="FF999" s="93"/>
    </row>
    <row r="1000" spans="1:162" ht="15.75" customHeight="1">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93"/>
      <c r="AV1000" s="93"/>
      <c r="AW1000" s="93"/>
      <c r="AX1000" s="93"/>
      <c r="AY1000" s="93"/>
      <c r="AZ1000" s="93"/>
      <c r="BA1000" s="93"/>
      <c r="BB1000" s="93"/>
      <c r="BC1000" s="93"/>
      <c r="BD1000" s="93"/>
      <c r="BE1000" s="93"/>
      <c r="BF1000" s="93"/>
      <c r="BG1000" s="93"/>
      <c r="BH1000" s="93"/>
      <c r="BI1000" s="93"/>
      <c r="BJ1000" s="93"/>
      <c r="BK1000" s="93"/>
      <c r="BL1000" s="93"/>
      <c r="BM1000" s="93"/>
      <c r="BN1000" s="93"/>
      <c r="BO1000" s="93"/>
      <c r="BP1000" s="93"/>
      <c r="BQ1000" s="93"/>
      <c r="BR1000" s="93"/>
      <c r="BS1000" s="93"/>
      <c r="BT1000" s="93"/>
      <c r="BU1000" s="93"/>
      <c r="BV1000" s="93"/>
      <c r="BW1000" s="93"/>
      <c r="BX1000" s="93"/>
      <c r="BY1000" s="93"/>
      <c r="BZ1000" s="93"/>
      <c r="CA1000" s="93"/>
      <c r="CB1000" s="93"/>
      <c r="CC1000" s="93"/>
      <c r="CD1000" s="93"/>
      <c r="CE1000" s="93"/>
      <c r="CF1000" s="93"/>
      <c r="CG1000" s="93"/>
      <c r="CH1000" s="93"/>
      <c r="CI1000" s="93"/>
      <c r="CJ1000" s="93"/>
      <c r="CK1000" s="93"/>
      <c r="CL1000" s="93"/>
      <c r="CM1000" s="93"/>
      <c r="CN1000" s="93"/>
      <c r="CO1000" s="93"/>
      <c r="CP1000" s="93"/>
      <c r="CQ1000" s="93"/>
      <c r="CR1000" s="93"/>
      <c r="CS1000" s="93"/>
      <c r="CT1000" s="93"/>
      <c r="CU1000" s="93"/>
      <c r="CV1000" s="93"/>
      <c r="CW1000" s="93"/>
      <c r="CX1000" s="93"/>
      <c r="CY1000" s="93"/>
      <c r="CZ1000" s="93"/>
      <c r="DA1000" s="93"/>
      <c r="DB1000" s="93"/>
      <c r="DC1000" s="93"/>
      <c r="DD1000" s="93"/>
      <c r="DE1000" s="93"/>
      <c r="DF1000" s="93"/>
      <c r="DG1000" s="93"/>
      <c r="DH1000" s="93"/>
      <c r="DI1000" s="93"/>
      <c r="DJ1000" s="93"/>
      <c r="DK1000" s="93"/>
      <c r="DL1000" s="93"/>
      <c r="DM1000" s="93"/>
      <c r="DN1000" s="93"/>
      <c r="DO1000" s="93"/>
      <c r="DP1000" s="93"/>
      <c r="DQ1000" s="93"/>
      <c r="DR1000" s="93"/>
      <c r="DS1000" s="93"/>
      <c r="DT1000" s="93"/>
      <c r="DU1000" s="93"/>
      <c r="DV1000" s="93"/>
      <c r="DW1000" s="93"/>
      <c r="DX1000" s="93"/>
      <c r="DY1000" s="93"/>
      <c r="DZ1000" s="93"/>
      <c r="EA1000" s="93"/>
      <c r="EB1000" s="93"/>
      <c r="EC1000" s="93"/>
      <c r="ED1000" s="93"/>
      <c r="EE1000" s="93"/>
      <c r="EF1000" s="93"/>
      <c r="EG1000" s="93"/>
      <c r="EH1000" s="93"/>
      <c r="EI1000" s="93"/>
      <c r="EJ1000" s="93"/>
      <c r="EK1000" s="93"/>
      <c r="EL1000" s="93"/>
      <c r="EM1000" s="93"/>
      <c r="EN1000" s="93"/>
      <c r="EO1000" s="93"/>
      <c r="EP1000" s="93"/>
      <c r="EQ1000" s="93"/>
      <c r="ER1000" s="93"/>
      <c r="ES1000" s="93"/>
      <c r="ET1000" s="93"/>
      <c r="EU1000" s="93"/>
      <c r="EV1000" s="93"/>
      <c r="EW1000" s="93"/>
      <c r="EX1000" s="93"/>
      <c r="EY1000" s="93"/>
      <c r="EZ1000" s="93"/>
      <c r="FA1000" s="93"/>
      <c r="FB1000" s="93"/>
      <c r="FC1000" s="93"/>
      <c r="FD1000" s="93"/>
      <c r="FE1000" s="93"/>
      <c r="FF1000" s="93"/>
    </row>
    <row r="1001" spans="1:162" ht="15.75" customHeight="1">
      <c r="A1001" s="102"/>
      <c r="B1001" s="102"/>
      <c r="C1001" s="102"/>
      <c r="D1001" s="102"/>
      <c r="E1001" s="102"/>
      <c r="F1001" s="102"/>
      <c r="G1001" s="102"/>
      <c r="H1001" s="102"/>
      <c r="I1001" s="102"/>
      <c r="J1001" s="102"/>
      <c r="K1001" s="102"/>
      <c r="L1001" s="102"/>
      <c r="Z1001" s="103"/>
      <c r="AA1001" s="103"/>
      <c r="AB1001" s="103"/>
      <c r="AC1001" s="103"/>
      <c r="AD1001" s="103"/>
      <c r="AE1001" s="103"/>
      <c r="AF1001" s="103"/>
      <c r="AM1001" s="103"/>
      <c r="AN1001" s="103"/>
      <c r="AO1001" s="103"/>
      <c r="AP1001" s="103"/>
      <c r="AQ1001" s="103"/>
      <c r="AR1001" s="103"/>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103"/>
      <c r="BP1001" s="103"/>
      <c r="BQ1001" s="103"/>
      <c r="BR1001" s="103"/>
      <c r="BS1001" s="103"/>
      <c r="BT1001" s="103"/>
      <c r="BU1001" s="103"/>
      <c r="BV1001" s="103"/>
      <c r="BW1001" s="103"/>
      <c r="BX1001" s="103"/>
      <c r="BY1001" s="103"/>
      <c r="BZ1001" s="103"/>
      <c r="CA1001" s="103"/>
      <c r="CB1001" s="103"/>
      <c r="CC1001" s="103"/>
      <c r="CD1001" s="103"/>
      <c r="CE1001" s="103"/>
      <c r="CF1001" s="103"/>
      <c r="CG1001" s="103"/>
      <c r="CH1001" s="103"/>
      <c r="CI1001" s="103"/>
      <c r="CJ1001" s="103"/>
      <c r="CK1001" s="103"/>
      <c r="CL1001" s="103"/>
      <c r="CM1001" s="103"/>
      <c r="CN1001" s="103"/>
      <c r="CO1001" s="103"/>
      <c r="CP1001" s="103"/>
      <c r="CQ1001" s="103"/>
      <c r="CR1001" s="103"/>
      <c r="CS1001" s="103"/>
      <c r="CT1001" s="103"/>
      <c r="CU1001" s="103"/>
      <c r="CV1001" s="103"/>
      <c r="CW1001" s="103"/>
      <c r="CX1001" s="103"/>
      <c r="CY1001" s="103"/>
      <c r="CZ1001" s="103"/>
      <c r="DA1001" s="103"/>
      <c r="DB1001" s="103"/>
      <c r="DC1001" s="103"/>
      <c r="DD1001" s="103"/>
      <c r="DE1001" s="103"/>
      <c r="DF1001" s="103"/>
      <c r="DG1001" s="103"/>
      <c r="DH1001" s="103"/>
      <c r="DI1001" s="103"/>
      <c r="DJ1001" s="103"/>
      <c r="DK1001" s="103"/>
      <c r="DL1001" s="103"/>
      <c r="DM1001" s="103"/>
      <c r="DN1001" s="103"/>
      <c r="DO1001" s="103"/>
      <c r="DP1001" s="103"/>
      <c r="DQ1001" s="103"/>
      <c r="DR1001" s="103"/>
      <c r="DS1001" s="103"/>
      <c r="DT1001" s="103"/>
      <c r="DU1001" s="103"/>
      <c r="DV1001" s="103"/>
      <c r="DW1001" s="103"/>
      <c r="DX1001" s="103"/>
      <c r="DY1001" s="103"/>
      <c r="DZ1001" s="103"/>
      <c r="EA1001" s="103"/>
      <c r="EB1001" s="103"/>
      <c r="EC1001" s="103"/>
      <c r="ED1001" s="103"/>
      <c r="EE1001" s="103"/>
      <c r="EF1001" s="103"/>
      <c r="EG1001" s="103"/>
      <c r="EH1001" s="103"/>
      <c r="EI1001" s="103"/>
      <c r="EJ1001" s="103"/>
      <c r="EK1001" s="103"/>
      <c r="EL1001" s="103"/>
      <c r="EM1001" s="103"/>
      <c r="EN1001" s="103"/>
      <c r="EO1001" s="103"/>
      <c r="EP1001" s="103"/>
      <c r="EQ1001" s="103"/>
      <c r="ER1001" s="103"/>
      <c r="ES1001" s="103"/>
      <c r="ET1001" s="103"/>
      <c r="EU1001" s="103"/>
      <c r="EV1001" s="103"/>
      <c r="EW1001" s="103"/>
      <c r="EX1001" s="103"/>
      <c r="EY1001" s="103"/>
      <c r="EZ1001" s="103"/>
      <c r="FA1001" s="103"/>
      <c r="FB1001" s="103"/>
      <c r="FC1001" s="103"/>
      <c r="FD1001" s="103"/>
      <c r="FE1001" s="103"/>
      <c r="FF1001" s="103"/>
    </row>
    <row r="1002" spans="1:162" ht="15.75" customHeight="1">
      <c r="A1002" s="102"/>
      <c r="B1002" s="102"/>
      <c r="C1002" s="102"/>
      <c r="D1002" s="102"/>
      <c r="E1002" s="102"/>
      <c r="F1002" s="102"/>
      <c r="G1002" s="102"/>
      <c r="H1002" s="102"/>
      <c r="I1002" s="102"/>
      <c r="J1002" s="102"/>
      <c r="K1002" s="102"/>
      <c r="L1002" s="102"/>
      <c r="Z1002" s="103"/>
      <c r="AA1002" s="103"/>
      <c r="AB1002" s="103"/>
      <c r="AC1002" s="103"/>
      <c r="AD1002" s="103"/>
      <c r="AE1002" s="103"/>
      <c r="AF1002" s="103"/>
      <c r="AM1002" s="103"/>
      <c r="AN1002" s="103"/>
      <c r="AO1002" s="103"/>
      <c r="AP1002" s="103"/>
      <c r="AQ1002" s="103"/>
      <c r="AR1002" s="103"/>
      <c r="AS1002" s="103"/>
      <c r="AT1002" s="103"/>
      <c r="AU1002" s="103"/>
      <c r="AV1002" s="103"/>
      <c r="AW1002" s="103"/>
      <c r="AX1002" s="103"/>
      <c r="AY1002" s="103"/>
      <c r="AZ1002" s="103"/>
      <c r="BA1002" s="103"/>
      <c r="BB1002" s="103"/>
      <c r="BC1002" s="103"/>
      <c r="BD1002" s="103"/>
      <c r="BE1002" s="103"/>
      <c r="BF1002" s="103"/>
      <c r="BG1002" s="103"/>
      <c r="BH1002" s="103"/>
      <c r="BI1002" s="103"/>
      <c r="BJ1002" s="103"/>
      <c r="BK1002" s="103"/>
      <c r="BL1002" s="103"/>
      <c r="BM1002" s="103"/>
      <c r="BN1002" s="103"/>
      <c r="BO1002" s="103"/>
      <c r="BP1002" s="103"/>
      <c r="BQ1002" s="103"/>
      <c r="BR1002" s="103"/>
      <c r="BS1002" s="103"/>
      <c r="BT1002" s="103"/>
      <c r="BU1002" s="103"/>
      <c r="BV1002" s="103"/>
      <c r="BW1002" s="103"/>
      <c r="BX1002" s="103"/>
      <c r="BY1002" s="103"/>
      <c r="BZ1002" s="103"/>
      <c r="CA1002" s="103"/>
      <c r="CB1002" s="103"/>
      <c r="CC1002" s="103"/>
      <c r="CD1002" s="103"/>
      <c r="CE1002" s="103"/>
      <c r="CF1002" s="103"/>
      <c r="CG1002" s="103"/>
      <c r="CH1002" s="103"/>
      <c r="CI1002" s="103"/>
      <c r="CJ1002" s="103"/>
      <c r="CK1002" s="103"/>
      <c r="CL1002" s="103"/>
      <c r="CM1002" s="103"/>
      <c r="CN1002" s="103"/>
      <c r="CO1002" s="103"/>
      <c r="CP1002" s="103"/>
      <c r="CQ1002" s="103"/>
      <c r="CR1002" s="103"/>
      <c r="CS1002" s="103"/>
      <c r="CT1002" s="103"/>
      <c r="CU1002" s="103"/>
      <c r="CV1002" s="103"/>
      <c r="CW1002" s="103"/>
      <c r="CX1002" s="103"/>
      <c r="CY1002" s="103"/>
      <c r="CZ1002" s="103"/>
      <c r="DA1002" s="103"/>
      <c r="DB1002" s="103"/>
      <c r="DC1002" s="103"/>
      <c r="DD1002" s="103"/>
      <c r="DE1002" s="103"/>
      <c r="DF1002" s="103"/>
      <c r="DG1002" s="103"/>
      <c r="DH1002" s="103"/>
      <c r="DI1002" s="103"/>
      <c r="DJ1002" s="103"/>
      <c r="DK1002" s="103"/>
      <c r="DL1002" s="103"/>
      <c r="DM1002" s="103"/>
      <c r="DN1002" s="103"/>
      <c r="DO1002" s="103"/>
      <c r="DP1002" s="103"/>
      <c r="DQ1002" s="103"/>
      <c r="DR1002" s="103"/>
      <c r="DS1002" s="103"/>
      <c r="DT1002" s="103"/>
      <c r="DU1002" s="103"/>
      <c r="DV1002" s="103"/>
      <c r="DW1002" s="103"/>
      <c r="DX1002" s="103"/>
      <c r="DY1002" s="103"/>
      <c r="DZ1002" s="103"/>
      <c r="EA1002" s="103"/>
      <c r="EB1002" s="103"/>
      <c r="EC1002" s="103"/>
      <c r="ED1002" s="103"/>
      <c r="EE1002" s="103"/>
      <c r="EF1002" s="103"/>
      <c r="EG1002" s="103"/>
      <c r="EH1002" s="103"/>
      <c r="EI1002" s="103"/>
      <c r="EJ1002" s="103"/>
      <c r="EK1002" s="103"/>
      <c r="EL1002" s="103"/>
      <c r="EM1002" s="103"/>
      <c r="EN1002" s="103"/>
      <c r="EO1002" s="103"/>
      <c r="EP1002" s="103"/>
      <c r="EQ1002" s="103"/>
      <c r="ER1002" s="103"/>
      <c r="ES1002" s="103"/>
      <c r="ET1002" s="103"/>
      <c r="EU1002" s="103"/>
      <c r="EV1002" s="103"/>
      <c r="EW1002" s="103"/>
      <c r="EX1002" s="103"/>
      <c r="EY1002" s="103"/>
      <c r="EZ1002" s="103"/>
      <c r="FA1002" s="103"/>
      <c r="FB1002" s="103"/>
      <c r="FC1002" s="103"/>
      <c r="FD1002" s="103"/>
      <c r="FE1002" s="103"/>
      <c r="FF1002" s="103"/>
    </row>
  </sheetData>
  <sheetProtection sheet="1" scenarios="1" formatCells="0" formatColumns="0" formatRows="0" sort="0" autoFilter="0"/>
  <mergeCells count="16">
    <mergeCell ref="K71:DM78"/>
    <mergeCell ref="V41:CZ48"/>
    <mergeCell ref="V14:CZ21"/>
    <mergeCell ref="D4:S7"/>
    <mergeCell ref="V23:CZ30"/>
    <mergeCell ref="R50:U53"/>
    <mergeCell ref="V50:CZ57"/>
    <mergeCell ref="Q10:BS12"/>
    <mergeCell ref="R59:U62"/>
    <mergeCell ref="R23:U26"/>
    <mergeCell ref="V59:CZ66"/>
    <mergeCell ref="R14:U17"/>
    <mergeCell ref="Q13:CZ13"/>
    <mergeCell ref="R32:U35"/>
    <mergeCell ref="V32:CZ39"/>
    <mergeCell ref="R41:U44"/>
  </mergeCells>
  <pageMargins left="0.75" right="0.75" top="1" bottom="1"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FA64A"/>
  </sheetPr>
  <dimension ref="A1:AD997"/>
  <sheetViews>
    <sheetView showGridLines="0" zoomScaleNormal="100" workbookViewId="0">
      <pane ySplit="11" topLeftCell="A21" activePane="bottomLeft" state="frozen"/>
      <selection pane="bottomLeft"/>
    </sheetView>
  </sheetViews>
  <sheetFormatPr baseColWidth="10" defaultColWidth="11.28515625" defaultRowHeight="15" customHeight="1"/>
  <cols>
    <col min="1" max="1" width="1.28515625" style="187" customWidth="1"/>
    <col min="2" max="3" width="1.28515625" customWidth="1"/>
    <col min="4" max="4" width="5" customWidth="1"/>
    <col min="5" max="5" width="11" customWidth="1"/>
    <col min="6" max="6" width="5.28515625" customWidth="1"/>
    <col min="7" max="7" width="11" customWidth="1"/>
    <col min="8" max="8" width="8" customWidth="1"/>
    <col min="9" max="10" width="24" customWidth="1"/>
    <col min="11" max="12" width="22" customWidth="1"/>
    <col min="13" max="13" width="18" customWidth="1"/>
    <col min="14" max="14" width="18" hidden="1" customWidth="1"/>
    <col min="15" max="16" width="1.28515625" customWidth="1"/>
    <col min="17" max="30" width="8.5703125" customWidth="1"/>
  </cols>
  <sheetData>
    <row r="1" spans="1:30" s="187" customFormat="1" ht="7.5" customHeight="1"/>
    <row r="2" spans="1:30" ht="7.5" customHeight="1">
      <c r="A2" s="187">
        <v>1</v>
      </c>
      <c r="B2" s="13"/>
      <c r="C2" s="13"/>
      <c r="D2" s="14"/>
      <c r="E2" s="14"/>
      <c r="F2" s="14"/>
      <c r="G2" s="14"/>
      <c r="H2" s="14"/>
      <c r="I2" s="14"/>
      <c r="J2" s="14"/>
      <c r="K2" s="15"/>
      <c r="L2" s="15"/>
      <c r="M2" s="14"/>
      <c r="N2" s="15"/>
      <c r="O2" s="15"/>
      <c r="P2" s="15"/>
      <c r="Q2" s="15"/>
      <c r="R2" s="15"/>
      <c r="S2" s="15"/>
      <c r="T2" s="15"/>
      <c r="U2" s="16"/>
      <c r="V2" s="16"/>
      <c r="W2" s="16"/>
      <c r="X2" s="16"/>
      <c r="Y2" s="16"/>
      <c r="Z2" s="16"/>
      <c r="AA2" s="16"/>
      <c r="AB2" s="16"/>
      <c r="AC2" s="16"/>
      <c r="AD2" s="16"/>
    </row>
    <row r="3" spans="1:30" ht="7.5" customHeight="1" thickBot="1">
      <c r="B3" s="13"/>
      <c r="C3" s="13"/>
      <c r="D3" s="184" t="s">
        <v>90</v>
      </c>
      <c r="E3" s="184"/>
      <c r="F3" s="184"/>
      <c r="G3" s="184"/>
      <c r="H3" s="184"/>
      <c r="I3" s="184"/>
      <c r="J3" s="184"/>
      <c r="K3" s="185"/>
      <c r="L3" s="185"/>
      <c r="M3" s="184"/>
      <c r="N3" s="15"/>
      <c r="O3" s="15"/>
      <c r="P3" s="15"/>
      <c r="Q3" s="15"/>
      <c r="R3" s="15"/>
      <c r="S3" s="15"/>
      <c r="T3" s="15"/>
      <c r="U3" s="16"/>
      <c r="V3" s="16"/>
      <c r="W3" s="16"/>
      <c r="X3" s="16"/>
      <c r="Y3" s="16"/>
      <c r="Z3" s="16"/>
      <c r="AA3" s="16"/>
      <c r="AB3" s="16"/>
      <c r="AC3" s="16"/>
      <c r="AD3" s="16"/>
    </row>
    <row r="4" spans="1:30" ht="27.75" customHeight="1" thickTop="1" thickBot="1">
      <c r="B4" s="13"/>
      <c r="C4" s="188"/>
      <c r="D4" s="308" t="str">
        <f>HYPERLINK("https://www.justgiving.com/page/predictforpsc",VLOOKUP("btn_donate_now",langTable,MATCH(langName,_lang!$A$1:$F$1,0),FALSE()))</f>
        <v>♥ DONATE NOW</v>
      </c>
      <c r="E4" s="338"/>
      <c r="F4" s="339"/>
      <c r="G4" s="14"/>
      <c r="H4" s="14"/>
      <c r="I4" s="14"/>
      <c r="J4" s="14"/>
      <c r="K4" s="15"/>
      <c r="L4" s="15"/>
      <c r="M4" s="14"/>
      <c r="N4" s="15"/>
      <c r="O4" s="193"/>
      <c r="P4" s="15"/>
      <c r="Q4" s="15"/>
      <c r="R4" s="15"/>
      <c r="S4" s="15"/>
      <c r="T4" s="15"/>
      <c r="U4" s="16"/>
      <c r="V4" s="16"/>
      <c r="W4" s="16"/>
      <c r="X4" s="16"/>
      <c r="Y4" s="16"/>
      <c r="Z4" s="16"/>
      <c r="AA4" s="16"/>
      <c r="AB4" s="16"/>
      <c r="AC4" s="16"/>
      <c r="AD4" s="16"/>
    </row>
    <row r="5" spans="1:30" ht="7.5" customHeight="1" thickTop="1">
      <c r="B5" s="13"/>
      <c r="C5" s="188"/>
      <c r="D5" s="186"/>
      <c r="E5" s="186"/>
      <c r="F5" s="186"/>
      <c r="G5" s="186"/>
      <c r="H5" s="186"/>
      <c r="I5" s="186"/>
      <c r="J5" s="186"/>
      <c r="K5" s="186"/>
      <c r="L5" s="186"/>
      <c r="M5" s="186"/>
      <c r="N5" s="17"/>
      <c r="O5" s="194"/>
      <c r="P5" s="17"/>
      <c r="Q5" s="14"/>
      <c r="R5" s="14"/>
      <c r="S5" s="14"/>
      <c r="T5" s="14"/>
      <c r="U5" s="16"/>
      <c r="V5" s="16"/>
      <c r="W5" s="16"/>
      <c r="X5" s="16"/>
      <c r="Y5" s="16"/>
      <c r="Z5" s="16"/>
      <c r="AA5" s="16"/>
      <c r="AB5" s="16"/>
      <c r="AC5" s="16"/>
      <c r="AD5" s="16"/>
    </row>
    <row r="6" spans="1:30" ht="15" customHeight="1">
      <c r="B6" s="13"/>
      <c r="C6" s="188"/>
      <c r="D6" s="17"/>
      <c r="E6" s="17"/>
      <c r="F6" s="17"/>
      <c r="G6" s="17"/>
      <c r="H6" s="17"/>
      <c r="I6" s="17"/>
      <c r="J6" s="17"/>
      <c r="K6" s="17"/>
      <c r="L6" s="17"/>
      <c r="M6" s="17"/>
      <c r="N6" s="17"/>
      <c r="O6" s="194"/>
      <c r="P6" s="17"/>
      <c r="Q6" s="14">
        <v>1</v>
      </c>
      <c r="R6" s="14"/>
      <c r="S6" s="14"/>
      <c r="T6" s="14"/>
      <c r="U6" s="16"/>
      <c r="V6" s="16"/>
      <c r="W6" s="16"/>
      <c r="X6" s="16"/>
      <c r="Y6" s="16"/>
      <c r="Z6" s="16"/>
      <c r="AA6" s="16"/>
      <c r="AB6" s="16"/>
      <c r="AC6" s="16"/>
      <c r="AD6" s="16"/>
    </row>
    <row r="7" spans="1:30" ht="15" customHeight="1">
      <c r="B7" s="13"/>
      <c r="C7" s="188"/>
      <c r="D7" s="336" t="str">
        <f>VLOOKUP("ds_title",langTable,MATCH(langName,_lang!$A$1:$F$1,0),FALSE())</f>
        <v>&gt;&gt;&gt; DAILY SCHEDULE</v>
      </c>
      <c r="E7" s="267"/>
      <c r="F7" s="267"/>
      <c r="G7" s="267"/>
      <c r="H7" s="267"/>
      <c r="I7" s="267"/>
      <c r="J7" s="267"/>
      <c r="K7" s="267"/>
      <c r="L7" s="17"/>
      <c r="M7" s="17"/>
      <c r="N7" s="17"/>
      <c r="O7" s="194"/>
      <c r="P7" s="17"/>
      <c r="Q7" s="14"/>
      <c r="R7" s="14"/>
      <c r="S7" s="14"/>
      <c r="T7" s="14"/>
      <c r="U7" s="16"/>
      <c r="V7" s="16"/>
      <c r="W7" s="16"/>
      <c r="X7" s="16"/>
      <c r="Y7" s="16"/>
      <c r="Z7" s="16"/>
      <c r="AA7" s="16"/>
      <c r="AB7" s="16"/>
      <c r="AC7" s="16"/>
      <c r="AD7" s="16"/>
    </row>
    <row r="8" spans="1:30" ht="15" customHeight="1">
      <c r="B8" s="13"/>
      <c r="C8" s="188"/>
      <c r="D8" s="267"/>
      <c r="E8" s="267"/>
      <c r="F8" s="267"/>
      <c r="G8" s="267"/>
      <c r="H8" s="267"/>
      <c r="I8" s="267"/>
      <c r="J8" s="267"/>
      <c r="K8" s="267"/>
      <c r="L8" s="17"/>
      <c r="M8" s="17"/>
      <c r="N8" s="17"/>
      <c r="O8" s="194"/>
      <c r="P8" s="17"/>
      <c r="Q8" s="14"/>
      <c r="R8" s="14"/>
      <c r="S8" s="14"/>
      <c r="T8" s="14"/>
      <c r="U8" s="16"/>
      <c r="V8" s="16"/>
      <c r="W8" s="16"/>
      <c r="X8" s="16"/>
      <c r="Y8" s="16"/>
      <c r="Z8" s="16"/>
      <c r="AA8" s="16"/>
      <c r="AB8" s="16"/>
      <c r="AC8" s="16"/>
      <c r="AD8" s="16"/>
    </row>
    <row r="9" spans="1:30" ht="16.5" customHeight="1">
      <c r="B9" s="18"/>
      <c r="C9" s="189"/>
      <c r="D9" s="337" t="str">
        <f>VLOOKUP("ds_subtitle",langTable,MATCH(langName,_lang!$A$1:$F$1,0),FALSE())</f>
        <v>All 104 matches in chronological order</v>
      </c>
      <c r="E9" s="267"/>
      <c r="F9" s="267"/>
      <c r="G9" s="267"/>
      <c r="H9" s="267"/>
      <c r="I9" s="267"/>
      <c r="J9" s="267"/>
      <c r="K9" s="267"/>
      <c r="L9" s="267"/>
      <c r="M9" s="17"/>
      <c r="N9" s="17"/>
      <c r="O9" s="194"/>
      <c r="P9" s="17"/>
      <c r="Q9" s="14"/>
      <c r="R9" s="14"/>
      <c r="S9" s="19"/>
      <c r="T9" s="19"/>
      <c r="U9" s="20"/>
      <c r="V9" s="20"/>
      <c r="W9" s="20"/>
      <c r="X9" s="20"/>
      <c r="Y9" s="20"/>
      <c r="Z9" s="20"/>
      <c r="AA9" s="20"/>
      <c r="AB9" s="20"/>
      <c r="AC9" s="20"/>
      <c r="AD9" s="20"/>
    </row>
    <row r="10" spans="1:30" ht="15" customHeight="1">
      <c r="B10" s="14"/>
      <c r="C10" s="190"/>
      <c r="D10" s="14"/>
      <c r="E10" s="14"/>
      <c r="F10" s="14"/>
      <c r="G10" s="14"/>
      <c r="H10" s="14"/>
      <c r="I10" s="14"/>
      <c r="J10" s="14"/>
      <c r="K10" s="14"/>
      <c r="L10" s="14"/>
      <c r="M10" s="17"/>
      <c r="N10" s="17"/>
      <c r="O10" s="194"/>
      <c r="P10" s="17"/>
      <c r="Q10" s="14"/>
      <c r="R10" s="14"/>
      <c r="S10" s="14"/>
      <c r="T10" s="14"/>
      <c r="U10" s="16"/>
      <c r="V10" s="16"/>
      <c r="W10" s="16"/>
      <c r="X10" s="16"/>
      <c r="Y10" s="16"/>
      <c r="Z10" s="16"/>
      <c r="AA10" s="16"/>
      <c r="AB10" s="16"/>
      <c r="AC10" s="16"/>
      <c r="AD10" s="16"/>
    </row>
    <row r="11" spans="1:30" ht="16.5" customHeight="1">
      <c r="B11" s="21"/>
      <c r="C11" s="191"/>
      <c r="D11" s="82" t="str">
        <f>VLOOKUP("hdr_match",langTable,MATCH(langName,_lang!$A$1:$F$1,0),FALSE())</f>
        <v>#</v>
      </c>
      <c r="E11" s="82" t="str">
        <f>VLOOKUP("hdr_date",langTable,MATCH(langName,_lang!$A$1:$F$1,0),FALSE())</f>
        <v>DATE</v>
      </c>
      <c r="F11" s="82" t="str">
        <f>VLOOKUP("hdr_day",langTable,MATCH(langName,_lang!$A$1:$F$1,0),FALSE())</f>
        <v>DAYS</v>
      </c>
      <c r="G11" s="82" t="str">
        <f>VLOOKUP("hdr_kickoff",langTable,MATCH(langName,_lang!$A$1:$F$1,0),FALSE())</f>
        <v>KO</v>
      </c>
      <c r="H11" s="82" t="str">
        <f>VLOOKUP("hdr_round",langTable,MATCH(langName,_lang!$A$1:$F$1,0),FALSE())</f>
        <v>ROUND</v>
      </c>
      <c r="I11" s="82" t="str">
        <f>VLOOKUP("hdr_home",langTable,MATCH(langName,_lang!$A$1:$F$1,0),FALSE())</f>
        <v>HOME</v>
      </c>
      <c r="J11" s="82" t="str">
        <f>VLOOKUP("hdr_away",langTable,MATCH(langName,_lang!$A$1:$F$1,0),FALSE())</f>
        <v>AWAY</v>
      </c>
      <c r="K11" s="141" t="str">
        <f>VLOOKUP("hdr_city",langTable,MATCH(langName,_lang!$A$1:$F$1,0),FALSE())</f>
        <v>CITY</v>
      </c>
      <c r="L11" s="82" t="str">
        <f>VLOOKUP("hdr_stadium",langTable,MATCH(langName,_lang!$A$1:$F$1,0),FALSE())</f>
        <v>STADIUM</v>
      </c>
      <c r="M11" s="82" t="str">
        <f>VLOOKUP("hdr_tv",langTable,MATCH(langName,_lang!$A$1:$F$1,0),FALSE())</f>
        <v>TV (UK)</v>
      </c>
      <c r="N11" s="22" t="str">
        <f>VLOOKUP("hdr_result",langTable,MATCH(langName,_lang!$A$1:$F$1,0),FALSE())</f>
        <v>RESULT</v>
      </c>
      <c r="O11" s="195"/>
      <c r="P11" s="21"/>
      <c r="Q11" s="21"/>
      <c r="R11" s="21"/>
      <c r="S11" s="21"/>
      <c r="T11" s="21"/>
      <c r="U11" s="23"/>
      <c r="V11" s="23"/>
      <c r="W11" s="23"/>
      <c r="X11" s="23"/>
      <c r="Y11" s="23"/>
      <c r="Z11" s="23"/>
      <c r="AA11" s="23"/>
      <c r="AB11" s="23"/>
      <c r="AC11" s="23"/>
      <c r="AD11" s="23"/>
    </row>
    <row r="12" spans="1:30" ht="16.5" customHeight="1">
      <c r="B12" s="21"/>
      <c r="C12" s="191"/>
      <c r="D12" s="106">
        <v>1</v>
      </c>
      <c r="E12" s="83" t="str">
        <f>VLOOKUP(1,'Predictions &amp; Results'!$D$12:$Z$115,2,FALSE())</f>
        <v>11 Jun</v>
      </c>
      <c r="F12" s="83" t="str">
        <f>VLOOKUP(1,'Predictions &amp; Results'!$D$12:$Z$115,3,FALSE())</f>
        <v>Thu</v>
      </c>
      <c r="G12" s="83" t="str">
        <f>VLOOKUP(1,'Predictions &amp; Results'!$D$12:$Z$115,4,FALSE())</f>
        <v>20:00</v>
      </c>
      <c r="H12" s="106" t="s">
        <v>7</v>
      </c>
      <c r="I12" s="84" t="str">
        <f>VLOOKUP(1,'Predictions &amp; Results'!$D$12:$Z$115,6,FALSE())</f>
        <v>🇲🇽 Mexico</v>
      </c>
      <c r="J12" s="84" t="str">
        <f>VLOOKUP(1,'Predictions &amp; Results'!$D$12:$Z$115,7,FALSE())</f>
        <v>🇿🇦 South Africa</v>
      </c>
      <c r="K12" s="105" t="str">
        <f>VLOOKUP(1,'Predictions &amp; Results'!$D$12:$Z$115,9,FALSE())</f>
        <v>Mexico City</v>
      </c>
      <c r="L12" s="105" t="s">
        <v>10</v>
      </c>
      <c r="M12" s="106" t="str">
        <f>VLOOKUP(1,'Predictions &amp; Results'!$D$12:$Z$115,19,FALSE())</f>
        <v>ITV</v>
      </c>
      <c r="N12" s="24" t="str">
        <f>VLOOKUP(1,'Predictions &amp; Results'!$D$12:$Z$115,18,FALSE())</f>
        <v/>
      </c>
      <c r="O12" s="195"/>
      <c r="P12" s="21"/>
      <c r="Q12" s="21"/>
      <c r="R12" s="21"/>
      <c r="S12" s="21"/>
      <c r="T12" s="21"/>
      <c r="U12" s="23"/>
      <c r="V12" s="23"/>
      <c r="W12" s="23"/>
      <c r="X12" s="23"/>
      <c r="Y12" s="23"/>
      <c r="Z12" s="23"/>
      <c r="AA12" s="23"/>
      <c r="AB12" s="23"/>
      <c r="AC12" s="23"/>
      <c r="AD12" s="23"/>
    </row>
    <row r="13" spans="1:30" ht="16.5" customHeight="1">
      <c r="B13" s="21"/>
      <c r="C13" s="191"/>
      <c r="D13" s="106">
        <v>2</v>
      </c>
      <c r="E13" s="83" t="str">
        <f>VLOOKUP(2,'Predictions &amp; Results'!$D$12:$Z$115,2,FALSE())</f>
        <v>12 Jun</v>
      </c>
      <c r="F13" s="83" t="str">
        <f>VLOOKUP(2,'Predictions &amp; Results'!$D$12:$Z$115,3,FALSE())</f>
        <v>Fri</v>
      </c>
      <c r="G13" s="83" t="str">
        <f>VLOOKUP(2,'Predictions &amp; Results'!$D$12:$Z$115,4,FALSE())</f>
        <v>03:00</v>
      </c>
      <c r="H13" s="106" t="s">
        <v>7</v>
      </c>
      <c r="I13" s="84" t="str">
        <f>VLOOKUP(2,'Predictions &amp; Results'!$D$12:$Z$115,6,FALSE())</f>
        <v>🇰🇷 South Korea</v>
      </c>
      <c r="J13" s="84" t="str">
        <f>VLOOKUP(2,'Predictions &amp; Results'!$D$12:$Z$115,7,FALSE())</f>
        <v>🇨🇿 Czech Republic</v>
      </c>
      <c r="K13" s="105" t="str">
        <f>VLOOKUP(2,'Predictions &amp; Results'!$D$12:$Z$115,9,FALSE())</f>
        <v>Zapopan (Guadalajara)</v>
      </c>
      <c r="L13" s="105" t="s">
        <v>13</v>
      </c>
      <c r="M13" s="106" t="str">
        <f>VLOOKUP(2,'Predictions &amp; Results'!$D$12:$Z$115,19,FALSE())</f>
        <v>ITV</v>
      </c>
      <c r="N13" s="24" t="str">
        <f>VLOOKUP(2,'Predictions &amp; Results'!$D$12:$Z$115,18,FALSE())</f>
        <v/>
      </c>
      <c r="O13" s="195"/>
      <c r="P13" s="21"/>
      <c r="Q13" s="21"/>
      <c r="R13" s="21"/>
      <c r="S13" s="21"/>
      <c r="T13" s="21"/>
      <c r="U13" s="23"/>
      <c r="V13" s="23"/>
      <c r="W13" s="23"/>
      <c r="X13" s="23"/>
      <c r="Y13" s="23"/>
      <c r="Z13" s="23"/>
      <c r="AA13" s="23"/>
      <c r="AB13" s="23"/>
      <c r="AC13" s="23"/>
      <c r="AD13" s="23"/>
    </row>
    <row r="14" spans="1:30" ht="16.5" customHeight="1">
      <c r="B14" s="25"/>
      <c r="C14" s="192"/>
      <c r="D14" s="106">
        <v>3</v>
      </c>
      <c r="E14" s="83" t="str">
        <f>VLOOKUP(3,'Predictions &amp; Results'!$D$12:$Z$115,2,FALSE())</f>
        <v>12 Jun</v>
      </c>
      <c r="F14" s="83" t="str">
        <f>VLOOKUP(3,'Predictions &amp; Results'!$D$12:$Z$115,3,FALSE())</f>
        <v>Fri</v>
      </c>
      <c r="G14" s="83" t="str">
        <f>VLOOKUP(3,'Predictions &amp; Results'!$D$12:$Z$115,4,FALSE())</f>
        <v>20:00</v>
      </c>
      <c r="H14" s="106" t="s">
        <v>14</v>
      </c>
      <c r="I14" s="84" t="str">
        <f>VLOOKUP(3,'Predictions &amp; Results'!$D$12:$Z$115,6,FALSE())</f>
        <v>🇨🇦 Canada</v>
      </c>
      <c r="J14" s="84" t="str">
        <f>VLOOKUP(3,'Predictions &amp; Results'!$D$12:$Z$115,7,FALSE())</f>
        <v>🇧🇦 Bosnia &amp; Herzegovina</v>
      </c>
      <c r="K14" s="105" t="str">
        <f>VLOOKUP(3,'Predictions &amp; Results'!$D$12:$Z$115,9,FALSE())</f>
        <v>Toronto</v>
      </c>
      <c r="L14" s="105" t="s">
        <v>17</v>
      </c>
      <c r="M14" s="106" t="str">
        <f>VLOOKUP(3,'Predictions &amp; Results'!$D$12:$Z$115,19,FALSE())</f>
        <v>BBC</v>
      </c>
      <c r="N14" s="24" t="str">
        <f>VLOOKUP(3,'Predictions &amp; Results'!$D$12:$Z$115,18,FALSE())</f>
        <v/>
      </c>
      <c r="O14" s="195"/>
      <c r="P14" s="21"/>
      <c r="Q14" s="21"/>
      <c r="R14" s="21"/>
      <c r="S14" s="21"/>
      <c r="T14" s="21"/>
      <c r="U14" s="23"/>
      <c r="V14" s="23"/>
      <c r="W14" s="23"/>
      <c r="X14" s="23"/>
      <c r="Y14" s="23"/>
      <c r="Z14" s="23"/>
      <c r="AA14" s="23"/>
      <c r="AB14" s="23"/>
      <c r="AC14" s="23"/>
      <c r="AD14" s="23"/>
    </row>
    <row r="15" spans="1:30" ht="16.5" customHeight="1">
      <c r="B15" s="25"/>
      <c r="C15" s="192"/>
      <c r="D15" s="106">
        <v>4</v>
      </c>
      <c r="E15" s="83" t="str">
        <f>VLOOKUP(4,'Predictions &amp; Results'!$D$12:$Z$115,2,FALSE())</f>
        <v>13 Jun</v>
      </c>
      <c r="F15" s="83" t="str">
        <f>VLOOKUP(4,'Predictions &amp; Results'!$D$12:$Z$115,3,FALSE())</f>
        <v>Sat</v>
      </c>
      <c r="G15" s="83" t="str">
        <f>VLOOKUP(4,'Predictions &amp; Results'!$D$12:$Z$115,4,FALSE())</f>
        <v>02:00</v>
      </c>
      <c r="H15" s="106" t="s">
        <v>18</v>
      </c>
      <c r="I15" s="84" t="str">
        <f>VLOOKUP(4,'Predictions &amp; Results'!$D$12:$Z$115,6,FALSE())</f>
        <v>🇺🇸 USA</v>
      </c>
      <c r="J15" s="84" t="str">
        <f>VLOOKUP(4,'Predictions &amp; Results'!$D$12:$Z$115,7,FALSE())</f>
        <v>🇵🇾 Paraguay</v>
      </c>
      <c r="K15" s="105" t="str">
        <f>VLOOKUP(4,'Predictions &amp; Results'!$D$12:$Z$115,9,FALSE())</f>
        <v>Inglewood (Los Angeles)</v>
      </c>
      <c r="L15" s="105" t="s">
        <v>21</v>
      </c>
      <c r="M15" s="106" t="str">
        <f>VLOOKUP(4,'Predictions &amp; Results'!$D$12:$Z$115,19,FALSE())</f>
        <v>BBC</v>
      </c>
      <c r="N15" s="24" t="str">
        <f>VLOOKUP(4,'Predictions &amp; Results'!$D$12:$Z$115,18,FALSE())</f>
        <v/>
      </c>
      <c r="O15" s="195"/>
      <c r="P15" s="21"/>
      <c r="Q15" s="21"/>
      <c r="R15" s="21"/>
      <c r="S15" s="21"/>
      <c r="T15" s="21"/>
      <c r="U15" s="23"/>
      <c r="V15" s="23"/>
      <c r="W15" s="23"/>
      <c r="X15" s="23"/>
      <c r="Y15" s="23"/>
      <c r="Z15" s="23"/>
      <c r="AA15" s="23"/>
      <c r="AB15" s="23"/>
      <c r="AC15" s="23"/>
      <c r="AD15" s="23"/>
    </row>
    <row r="16" spans="1:30" ht="16.5" customHeight="1">
      <c r="B16" s="25"/>
      <c r="C16" s="192"/>
      <c r="D16" s="106">
        <v>5</v>
      </c>
      <c r="E16" s="83" t="str">
        <f>VLOOKUP(5,'Predictions &amp; Results'!$D$12:$Z$115,2,FALSE())</f>
        <v>13 Jun</v>
      </c>
      <c r="F16" s="83" t="str">
        <f>VLOOKUP(5,'Predictions &amp; Results'!$D$12:$Z$115,3,FALSE())</f>
        <v>Sat</v>
      </c>
      <c r="G16" s="83" t="str">
        <f>VLOOKUP(5,'Predictions &amp; Results'!$D$12:$Z$115,4,FALSE())</f>
        <v>20:00</v>
      </c>
      <c r="H16" s="106" t="s">
        <v>14</v>
      </c>
      <c r="I16" s="84" t="str">
        <f>VLOOKUP(5,'Predictions &amp; Results'!$D$12:$Z$115,6,FALSE())</f>
        <v>🇶🇦 Qatar</v>
      </c>
      <c r="J16" s="84" t="str">
        <f>VLOOKUP(5,'Predictions &amp; Results'!$D$12:$Z$115,7,FALSE())</f>
        <v>🇨🇭 Switzerland</v>
      </c>
      <c r="K16" s="105" t="str">
        <f>VLOOKUP(5,'Predictions &amp; Results'!$D$12:$Z$115,9,FALSE())</f>
        <v>Santa Clara (SF Bay Area)</v>
      </c>
      <c r="L16" s="105" t="s">
        <v>24</v>
      </c>
      <c r="M16" s="106" t="str">
        <f>VLOOKUP(5,'Predictions &amp; Results'!$D$12:$Z$115,19,FALSE())</f>
        <v>ITV</v>
      </c>
      <c r="N16" s="24" t="str">
        <f>VLOOKUP(5,'Predictions &amp; Results'!$D$12:$Z$115,18,FALSE())</f>
        <v/>
      </c>
      <c r="O16" s="195"/>
      <c r="P16" s="21"/>
      <c r="Q16" s="21"/>
      <c r="R16" s="21"/>
      <c r="S16" s="21"/>
      <c r="T16" s="21"/>
      <c r="U16" s="23"/>
      <c r="V16" s="23"/>
      <c r="W16" s="23"/>
      <c r="X16" s="23"/>
      <c r="Y16" s="23"/>
      <c r="Z16" s="23"/>
      <c r="AA16" s="23"/>
      <c r="AB16" s="23"/>
      <c r="AC16" s="23"/>
      <c r="AD16" s="23"/>
    </row>
    <row r="17" spans="2:30" ht="16.5" customHeight="1">
      <c r="B17" s="25"/>
      <c r="C17" s="192"/>
      <c r="D17" s="106">
        <v>6</v>
      </c>
      <c r="E17" s="83" t="str">
        <f>VLOOKUP(6,'Predictions &amp; Results'!$D$12:$Z$115,2,FALSE())</f>
        <v>13 Jun</v>
      </c>
      <c r="F17" s="83" t="str">
        <f>VLOOKUP(6,'Predictions &amp; Results'!$D$12:$Z$115,3,FALSE())</f>
        <v>Sat</v>
      </c>
      <c r="G17" s="83" t="str">
        <f>VLOOKUP(6,'Predictions &amp; Results'!$D$12:$Z$115,4,FALSE())</f>
        <v>23:00</v>
      </c>
      <c r="H17" s="106" t="s">
        <v>25</v>
      </c>
      <c r="I17" s="84" t="str">
        <f>VLOOKUP(6,'Predictions &amp; Results'!$D$12:$Z$115,6,FALSE())</f>
        <v>🇧🇷 Brazil</v>
      </c>
      <c r="J17" s="84" t="str">
        <f>VLOOKUP(6,'Predictions &amp; Results'!$D$12:$Z$115,7,FALSE())</f>
        <v>🇲🇦 Morocco</v>
      </c>
      <c r="K17" s="105" t="str">
        <f>VLOOKUP(6,'Predictions &amp; Results'!$D$12:$Z$115,9,FALSE())</f>
        <v>East Rutherford (NY/NJ)</v>
      </c>
      <c r="L17" s="105" t="s">
        <v>28</v>
      </c>
      <c r="M17" s="106" t="str">
        <f>VLOOKUP(6,'Predictions &amp; Results'!$D$12:$Z$115,19,FALSE())</f>
        <v>BBC</v>
      </c>
      <c r="N17" s="24" t="str">
        <f>VLOOKUP(6,'Predictions &amp; Results'!$D$12:$Z$115,18,FALSE())</f>
        <v/>
      </c>
      <c r="O17" s="195"/>
      <c r="P17" s="21"/>
      <c r="Q17" s="21"/>
      <c r="R17" s="21"/>
      <c r="S17" s="21"/>
      <c r="T17" s="21"/>
      <c r="U17" s="23"/>
      <c r="V17" s="23"/>
      <c r="W17" s="23"/>
      <c r="X17" s="23"/>
      <c r="Y17" s="23"/>
      <c r="Z17" s="23"/>
      <c r="AA17" s="23"/>
      <c r="AB17" s="23"/>
      <c r="AC17" s="23"/>
      <c r="AD17" s="23"/>
    </row>
    <row r="18" spans="2:30" ht="16.5" customHeight="1">
      <c r="B18" s="25"/>
      <c r="C18" s="192"/>
      <c r="D18" s="106">
        <v>7</v>
      </c>
      <c r="E18" s="83" t="str">
        <f>VLOOKUP(7,'Predictions &amp; Results'!$D$12:$Z$115,2,FALSE())</f>
        <v>14 Jun</v>
      </c>
      <c r="F18" s="83" t="str">
        <f>VLOOKUP(7,'Predictions &amp; Results'!$D$12:$Z$115,3,FALSE())</f>
        <v>Sun</v>
      </c>
      <c r="G18" s="83" t="str">
        <f>VLOOKUP(7,'Predictions &amp; Results'!$D$12:$Z$115,4,FALSE())</f>
        <v>02:00</v>
      </c>
      <c r="H18" s="106" t="s">
        <v>25</v>
      </c>
      <c r="I18" s="84" t="str">
        <f>VLOOKUP(7,'Predictions &amp; Results'!$D$12:$Z$115,6,FALSE())</f>
        <v>🇭🇹 Haiti</v>
      </c>
      <c r="J18" s="84" t="str">
        <f>VLOOKUP(7,'Predictions &amp; Results'!$D$12:$Z$115,7,FALSE())</f>
        <v>🏴󠁧󠁢󠁳󠁣󠁴󠁿 Scotland</v>
      </c>
      <c r="K18" s="105" t="str">
        <f>VLOOKUP(7,'Predictions &amp; Results'!$D$12:$Z$115,9,FALSE())</f>
        <v>Foxborough (Boston)</v>
      </c>
      <c r="L18" s="105" t="s">
        <v>31</v>
      </c>
      <c r="M18" s="106" t="str">
        <f>VLOOKUP(7,'Predictions &amp; Results'!$D$12:$Z$115,19,FALSE())</f>
        <v>BBC</v>
      </c>
      <c r="N18" s="24" t="str">
        <f>VLOOKUP(7,'Predictions &amp; Results'!$D$12:$Z$115,18,FALSE())</f>
        <v/>
      </c>
      <c r="O18" s="195"/>
      <c r="P18" s="21"/>
      <c r="Q18" s="21"/>
      <c r="R18" s="21"/>
      <c r="S18" s="21"/>
      <c r="T18" s="21"/>
      <c r="U18" s="23"/>
      <c r="V18" s="23"/>
      <c r="W18" s="23"/>
      <c r="X18" s="23"/>
      <c r="Y18" s="23"/>
      <c r="Z18" s="23"/>
      <c r="AA18" s="23"/>
      <c r="AB18" s="23"/>
      <c r="AC18" s="23"/>
      <c r="AD18" s="23"/>
    </row>
    <row r="19" spans="2:30" ht="16.5" customHeight="1">
      <c r="B19" s="25"/>
      <c r="C19" s="192"/>
      <c r="D19" s="106">
        <v>8</v>
      </c>
      <c r="E19" s="83" t="str">
        <f>VLOOKUP(8,'Predictions &amp; Results'!$D$12:$Z$115,2,FALSE())</f>
        <v>14 Jun</v>
      </c>
      <c r="F19" s="83" t="str">
        <f>VLOOKUP(8,'Predictions &amp; Results'!$D$12:$Z$115,3,FALSE())</f>
        <v>Sun</v>
      </c>
      <c r="G19" s="83" t="str">
        <f>VLOOKUP(8,'Predictions &amp; Results'!$D$12:$Z$115,4,FALSE())</f>
        <v>17:00</v>
      </c>
      <c r="H19" s="106" t="s">
        <v>18</v>
      </c>
      <c r="I19" s="84" t="str">
        <f>VLOOKUP(8,'Predictions &amp; Results'!$D$12:$Z$115,6,FALSE())</f>
        <v>🇦🇺 Australia</v>
      </c>
      <c r="J19" s="84" t="str">
        <f>VLOOKUP(8,'Predictions &amp; Results'!$D$12:$Z$115,7,FALSE())</f>
        <v>🇹🇷 Turkey</v>
      </c>
      <c r="K19" s="105" t="str">
        <f>VLOOKUP(8,'Predictions &amp; Results'!$D$12:$Z$115,9,FALSE())</f>
        <v>Vancouver</v>
      </c>
      <c r="L19" s="105" t="s">
        <v>34</v>
      </c>
      <c r="M19" s="106" t="str">
        <f>VLOOKUP(8,'Predictions &amp; Results'!$D$12:$Z$115,19,FALSE())</f>
        <v>ITV</v>
      </c>
      <c r="N19" s="24" t="str">
        <f>VLOOKUP(8,'Predictions &amp; Results'!$D$12:$Z$115,18,FALSE())</f>
        <v/>
      </c>
      <c r="O19" s="195"/>
      <c r="P19" s="21"/>
      <c r="Q19" s="21"/>
      <c r="R19" s="21"/>
      <c r="S19" s="21"/>
      <c r="T19" s="21"/>
      <c r="U19" s="23"/>
      <c r="V19" s="23"/>
      <c r="W19" s="23"/>
      <c r="X19" s="23"/>
      <c r="Y19" s="23"/>
      <c r="Z19" s="23"/>
      <c r="AA19" s="23"/>
      <c r="AB19" s="23"/>
      <c r="AC19" s="23"/>
      <c r="AD19" s="23"/>
    </row>
    <row r="20" spans="2:30" ht="16.5" customHeight="1">
      <c r="B20" s="25"/>
      <c r="C20" s="192"/>
      <c r="D20" s="106">
        <v>9</v>
      </c>
      <c r="E20" s="83" t="str">
        <f>VLOOKUP(9,'Predictions &amp; Results'!$D$12:$Z$115,2,FALSE())</f>
        <v>14 Jun</v>
      </c>
      <c r="F20" s="83" t="str">
        <f>VLOOKUP(9,'Predictions &amp; Results'!$D$12:$Z$115,3,FALSE())</f>
        <v>Sun</v>
      </c>
      <c r="G20" s="83" t="str">
        <f>VLOOKUP(9,'Predictions &amp; Results'!$D$12:$Z$115,4,FALSE())</f>
        <v>18:00</v>
      </c>
      <c r="H20" s="106" t="s">
        <v>35</v>
      </c>
      <c r="I20" s="84" t="str">
        <f>VLOOKUP(9,'Predictions &amp; Results'!$D$12:$Z$115,6,FALSE())</f>
        <v>🇩🇪 Germany</v>
      </c>
      <c r="J20" s="84" t="str">
        <f>VLOOKUP(9,'Predictions &amp; Results'!$D$12:$Z$115,7,FALSE())</f>
        <v>🇨🇼 Curaçao</v>
      </c>
      <c r="K20" s="105" t="str">
        <f>VLOOKUP(9,'Predictions &amp; Results'!$D$12:$Z$115,9,FALSE())</f>
        <v>Houston</v>
      </c>
      <c r="L20" s="105" t="s">
        <v>38</v>
      </c>
      <c r="M20" s="106" t="str">
        <f>VLOOKUP(9,'Predictions &amp; Results'!$D$12:$Z$115,19,FALSE())</f>
        <v>ITV</v>
      </c>
      <c r="N20" s="24" t="str">
        <f>VLOOKUP(9,'Predictions &amp; Results'!$D$12:$Z$115,18,FALSE())</f>
        <v/>
      </c>
      <c r="O20" s="195"/>
      <c r="P20" s="21"/>
      <c r="Q20" s="21"/>
      <c r="R20" s="21"/>
      <c r="S20" s="21"/>
      <c r="T20" s="21"/>
      <c r="U20" s="23"/>
      <c r="V20" s="23"/>
      <c r="W20" s="23"/>
      <c r="X20" s="23"/>
      <c r="Y20" s="23"/>
      <c r="Z20" s="23"/>
      <c r="AA20" s="23"/>
      <c r="AB20" s="23"/>
      <c r="AC20" s="23"/>
      <c r="AD20" s="23"/>
    </row>
    <row r="21" spans="2:30" ht="16.5" customHeight="1">
      <c r="B21" s="25"/>
      <c r="C21" s="192"/>
      <c r="D21" s="106">
        <v>10</v>
      </c>
      <c r="E21" s="83" t="str">
        <f>VLOOKUP(10,'Predictions &amp; Results'!$D$12:$Z$115,2,FALSE())</f>
        <v>14 Jun</v>
      </c>
      <c r="F21" s="83" t="str">
        <f>VLOOKUP(10,'Predictions &amp; Results'!$D$12:$Z$115,3,FALSE())</f>
        <v>Sun</v>
      </c>
      <c r="G21" s="83" t="str">
        <f>VLOOKUP(10,'Predictions &amp; Results'!$D$12:$Z$115,4,FALSE())</f>
        <v>21:00</v>
      </c>
      <c r="H21" s="106" t="s">
        <v>39</v>
      </c>
      <c r="I21" s="84" t="str">
        <f>VLOOKUP(10,'Predictions &amp; Results'!$D$12:$Z$115,6,FALSE())</f>
        <v>🇳🇱 Netherlands</v>
      </c>
      <c r="J21" s="84" t="str">
        <f>VLOOKUP(10,'Predictions &amp; Results'!$D$12:$Z$115,7,FALSE())</f>
        <v>🇯🇵 Japan</v>
      </c>
      <c r="K21" s="105" t="str">
        <f>VLOOKUP(10,'Predictions &amp; Results'!$D$12:$Z$115,9,FALSE())</f>
        <v>Arlington (Dallas)</v>
      </c>
      <c r="L21" s="105" t="s">
        <v>42</v>
      </c>
      <c r="M21" s="106" t="str">
        <f>VLOOKUP(10,'Predictions &amp; Results'!$D$12:$Z$115,19,FALSE())</f>
        <v>ITV</v>
      </c>
      <c r="N21" s="24" t="str">
        <f>VLOOKUP(10,'Predictions &amp; Results'!$D$12:$Z$115,18,FALSE())</f>
        <v/>
      </c>
      <c r="O21" s="195"/>
      <c r="P21" s="21"/>
      <c r="Q21" s="21"/>
      <c r="R21" s="21"/>
      <c r="S21" s="21"/>
      <c r="T21" s="21"/>
      <c r="U21" s="23"/>
      <c r="V21" s="23"/>
      <c r="W21" s="23"/>
      <c r="X21" s="23"/>
      <c r="Y21" s="23"/>
      <c r="Z21" s="23"/>
      <c r="AA21" s="23"/>
      <c r="AB21" s="23"/>
      <c r="AC21" s="23"/>
      <c r="AD21" s="23"/>
    </row>
    <row r="22" spans="2:30" ht="16.5" customHeight="1">
      <c r="B22" s="25"/>
      <c r="C22" s="192"/>
      <c r="D22" s="106">
        <v>11</v>
      </c>
      <c r="E22" s="83" t="str">
        <f>VLOOKUP(11,'Predictions &amp; Results'!$D$12:$Z$115,2,FALSE())</f>
        <v>15 Jun</v>
      </c>
      <c r="F22" s="83" t="str">
        <f>VLOOKUP(11,'Predictions &amp; Results'!$D$12:$Z$115,3,FALSE())</f>
        <v>Mon</v>
      </c>
      <c r="G22" s="83" t="str">
        <f>VLOOKUP(11,'Predictions &amp; Results'!$D$12:$Z$115,4,FALSE())</f>
        <v>00:00</v>
      </c>
      <c r="H22" s="106" t="s">
        <v>35</v>
      </c>
      <c r="I22" s="84" t="str">
        <f>VLOOKUP(11,'Predictions &amp; Results'!$D$12:$Z$115,6,FALSE())</f>
        <v>🇨🇮 Ivory Coast</v>
      </c>
      <c r="J22" s="84" t="str">
        <f>VLOOKUP(11,'Predictions &amp; Results'!$D$12:$Z$115,7,FALSE())</f>
        <v>🇪🇨 Ecuador</v>
      </c>
      <c r="K22" s="105" t="str">
        <f>VLOOKUP(11,'Predictions &amp; Results'!$D$12:$Z$115,9,FALSE())</f>
        <v>Philadelphia</v>
      </c>
      <c r="L22" s="105" t="s">
        <v>45</v>
      </c>
      <c r="M22" s="106" t="str">
        <f>VLOOKUP(11,'Predictions &amp; Results'!$D$12:$Z$115,19,FALSE())</f>
        <v>BBC</v>
      </c>
      <c r="N22" s="24" t="str">
        <f>VLOOKUP(11,'Predictions &amp; Results'!$D$12:$Z$115,18,FALSE())</f>
        <v/>
      </c>
      <c r="O22" s="195"/>
      <c r="P22" s="21"/>
      <c r="Q22" s="21"/>
      <c r="R22" s="21"/>
      <c r="S22" s="21"/>
      <c r="T22" s="21"/>
      <c r="U22" s="23"/>
      <c r="V22" s="23"/>
      <c r="W22" s="23"/>
      <c r="X22" s="23"/>
      <c r="Y22" s="23"/>
      <c r="Z22" s="23"/>
      <c r="AA22" s="23"/>
      <c r="AB22" s="23"/>
      <c r="AC22" s="23"/>
      <c r="AD22" s="23"/>
    </row>
    <row r="23" spans="2:30" ht="16.5" customHeight="1">
      <c r="B23" s="25"/>
      <c r="C23" s="192"/>
      <c r="D23" s="106">
        <v>12</v>
      </c>
      <c r="E23" s="83" t="str">
        <f>VLOOKUP(12,'Predictions &amp; Results'!$D$12:$Z$115,2,FALSE())</f>
        <v>15 Jun</v>
      </c>
      <c r="F23" s="83" t="str">
        <f>VLOOKUP(12,'Predictions &amp; Results'!$D$12:$Z$115,3,FALSE())</f>
        <v>Mon</v>
      </c>
      <c r="G23" s="83" t="str">
        <f>VLOOKUP(12,'Predictions &amp; Results'!$D$12:$Z$115,4,FALSE())</f>
        <v>03:00</v>
      </c>
      <c r="H23" s="106" t="s">
        <v>39</v>
      </c>
      <c r="I23" s="84" t="str">
        <f>VLOOKUP(12,'Predictions &amp; Results'!$D$12:$Z$115,6,FALSE())</f>
        <v>🇸🇪 Sweden</v>
      </c>
      <c r="J23" s="84" t="str">
        <f>VLOOKUP(12,'Predictions &amp; Results'!$D$12:$Z$115,7,FALSE())</f>
        <v>🇹🇳 Tunisia</v>
      </c>
      <c r="K23" s="105" t="str">
        <f>VLOOKUP(12,'Predictions &amp; Results'!$D$12:$Z$115,9,FALSE())</f>
        <v>Monterrey</v>
      </c>
      <c r="L23" s="105" t="s">
        <v>48</v>
      </c>
      <c r="M23" s="106" t="str">
        <f>VLOOKUP(12,'Predictions &amp; Results'!$D$12:$Z$115,19,FALSE())</f>
        <v>ITV</v>
      </c>
      <c r="N23" s="24" t="str">
        <f>VLOOKUP(12,'Predictions &amp; Results'!$D$12:$Z$115,18,FALSE())</f>
        <v/>
      </c>
      <c r="O23" s="195"/>
      <c r="P23" s="21"/>
      <c r="Q23" s="21"/>
      <c r="R23" s="21"/>
      <c r="S23" s="21"/>
      <c r="T23" s="21"/>
      <c r="U23" s="23"/>
      <c r="V23" s="23"/>
      <c r="W23" s="23"/>
      <c r="X23" s="23"/>
      <c r="Y23" s="23"/>
      <c r="Z23" s="23"/>
      <c r="AA23" s="23"/>
      <c r="AB23" s="23"/>
      <c r="AC23" s="23"/>
      <c r="AD23" s="23"/>
    </row>
    <row r="24" spans="2:30" ht="16.5" customHeight="1">
      <c r="B24" s="25"/>
      <c r="C24" s="192"/>
      <c r="D24" s="106">
        <v>13</v>
      </c>
      <c r="E24" s="83" t="str">
        <f>VLOOKUP(13,'Predictions &amp; Results'!$D$12:$Z$115,2,FALSE())</f>
        <v>15 Jun</v>
      </c>
      <c r="F24" s="83" t="str">
        <f>VLOOKUP(13,'Predictions &amp; Results'!$D$12:$Z$115,3,FALSE())</f>
        <v>Mon</v>
      </c>
      <c r="G24" s="83" t="str">
        <f>VLOOKUP(13,'Predictions &amp; Results'!$D$12:$Z$115,4,FALSE())</f>
        <v>17:00</v>
      </c>
      <c r="H24" s="106" t="s">
        <v>49</v>
      </c>
      <c r="I24" s="84" t="str">
        <f>VLOOKUP(13,'Predictions &amp; Results'!$D$12:$Z$115,6,FALSE())</f>
        <v>🇪🇸 Spain</v>
      </c>
      <c r="J24" s="84" t="str">
        <f>VLOOKUP(13,'Predictions &amp; Results'!$D$12:$Z$115,7,FALSE())</f>
        <v>🇨🇻 Cape Verde</v>
      </c>
      <c r="K24" s="105" t="str">
        <f>VLOOKUP(13,'Predictions &amp; Results'!$D$12:$Z$115,9,FALSE())</f>
        <v>Atlanta</v>
      </c>
      <c r="L24" s="105" t="s">
        <v>52</v>
      </c>
      <c r="M24" s="106" t="str">
        <f>VLOOKUP(13,'Predictions &amp; Results'!$D$12:$Z$115,19,FALSE())</f>
        <v>ITV</v>
      </c>
      <c r="N24" s="24" t="str">
        <f>VLOOKUP(13,'Predictions &amp; Results'!$D$12:$Z$115,18,FALSE())</f>
        <v/>
      </c>
      <c r="O24" s="195"/>
      <c r="P24" s="21"/>
      <c r="Q24" s="21"/>
      <c r="R24" s="21"/>
      <c r="S24" s="21"/>
      <c r="T24" s="21"/>
      <c r="U24" s="23"/>
      <c r="V24" s="23"/>
      <c r="W24" s="23"/>
      <c r="X24" s="23"/>
      <c r="Y24" s="23"/>
      <c r="Z24" s="23"/>
      <c r="AA24" s="23"/>
      <c r="AB24" s="23"/>
      <c r="AC24" s="23"/>
      <c r="AD24" s="23"/>
    </row>
    <row r="25" spans="2:30" ht="16.5" customHeight="1">
      <c r="B25" s="25"/>
      <c r="C25" s="192"/>
      <c r="D25" s="106">
        <v>14</v>
      </c>
      <c r="E25" s="83" t="str">
        <f>VLOOKUP(14,'Predictions &amp; Results'!$D$12:$Z$115,2,FALSE())</f>
        <v>15 Jun</v>
      </c>
      <c r="F25" s="83" t="str">
        <f>VLOOKUP(14,'Predictions &amp; Results'!$D$12:$Z$115,3,FALSE())</f>
        <v>Mon</v>
      </c>
      <c r="G25" s="83" t="str">
        <f>VLOOKUP(14,'Predictions &amp; Results'!$D$12:$Z$115,4,FALSE())</f>
        <v>20:00</v>
      </c>
      <c r="H25" s="106" t="s">
        <v>53</v>
      </c>
      <c r="I25" s="84" t="str">
        <f>VLOOKUP(14,'Predictions &amp; Results'!$D$12:$Z$115,6,FALSE())</f>
        <v>🇧🇪 Belgium</v>
      </c>
      <c r="J25" s="84" t="str">
        <f>VLOOKUP(14,'Predictions &amp; Results'!$D$12:$Z$115,7,FALSE())</f>
        <v>🇪🇬 Egypt</v>
      </c>
      <c r="K25" s="105" t="str">
        <f>VLOOKUP(14,'Predictions &amp; Results'!$D$12:$Z$115,9,FALSE())</f>
        <v>Seattle</v>
      </c>
      <c r="L25" s="105" t="s">
        <v>56</v>
      </c>
      <c r="M25" s="106" t="str">
        <f>VLOOKUP(14,'Predictions &amp; Results'!$D$12:$Z$115,19,FALSE())</f>
        <v>BBC</v>
      </c>
      <c r="N25" s="24" t="str">
        <f>VLOOKUP(14,'Predictions &amp; Results'!$D$12:$Z$115,18,FALSE())</f>
        <v/>
      </c>
      <c r="O25" s="195"/>
      <c r="P25" s="21"/>
      <c r="Q25" s="21"/>
      <c r="R25" s="21"/>
      <c r="S25" s="21"/>
      <c r="T25" s="21"/>
      <c r="U25" s="23"/>
      <c r="V25" s="23"/>
      <c r="W25" s="23"/>
      <c r="X25" s="23"/>
      <c r="Y25" s="23"/>
      <c r="Z25" s="23"/>
      <c r="AA25" s="23"/>
      <c r="AB25" s="23"/>
      <c r="AC25" s="23"/>
      <c r="AD25" s="23"/>
    </row>
    <row r="26" spans="2:30" ht="16.5" customHeight="1">
      <c r="B26" s="25"/>
      <c r="C26" s="192"/>
      <c r="D26" s="106">
        <v>15</v>
      </c>
      <c r="E26" s="83" t="str">
        <f>VLOOKUP(15,'Predictions &amp; Results'!$D$12:$Z$115,2,FALSE())</f>
        <v>15 Jun</v>
      </c>
      <c r="F26" s="83" t="str">
        <f>VLOOKUP(15,'Predictions &amp; Results'!$D$12:$Z$115,3,FALSE())</f>
        <v>Mon</v>
      </c>
      <c r="G26" s="83" t="str">
        <f>VLOOKUP(15,'Predictions &amp; Results'!$D$12:$Z$115,4,FALSE())</f>
        <v>23:00</v>
      </c>
      <c r="H26" s="106" t="s">
        <v>49</v>
      </c>
      <c r="I26" s="84" t="str">
        <f>VLOOKUP(15,'Predictions &amp; Results'!$D$12:$Z$115,6,FALSE())</f>
        <v>🇸🇦 Saudi Arabia</v>
      </c>
      <c r="J26" s="84" t="str">
        <f>VLOOKUP(15,'Predictions &amp; Results'!$D$12:$Z$115,7,FALSE())</f>
        <v>🇺🇾 Uruguay</v>
      </c>
      <c r="K26" s="105" t="str">
        <f>VLOOKUP(15,'Predictions &amp; Results'!$D$12:$Z$115,9,FALSE())</f>
        <v>Miami Gardens</v>
      </c>
      <c r="L26" s="105" t="s">
        <v>59</v>
      </c>
      <c r="M26" s="106" t="str">
        <f>VLOOKUP(15,'Predictions &amp; Results'!$D$12:$Z$115,19,FALSE())</f>
        <v>ITV</v>
      </c>
      <c r="N26" s="24" t="str">
        <f>VLOOKUP(15,'Predictions &amp; Results'!$D$12:$Z$115,18,FALSE())</f>
        <v/>
      </c>
      <c r="O26" s="195"/>
      <c r="P26" s="21"/>
      <c r="Q26" s="21"/>
      <c r="R26" s="21"/>
      <c r="S26" s="21"/>
      <c r="T26" s="21"/>
      <c r="U26" s="23"/>
      <c r="V26" s="23"/>
      <c r="W26" s="23"/>
      <c r="X26" s="23"/>
      <c r="Y26" s="23"/>
      <c r="Z26" s="23"/>
      <c r="AA26" s="23"/>
      <c r="AB26" s="23"/>
      <c r="AC26" s="23"/>
      <c r="AD26" s="23"/>
    </row>
    <row r="27" spans="2:30" ht="16.5" customHeight="1">
      <c r="B27" s="25"/>
      <c r="C27" s="192"/>
      <c r="D27" s="106">
        <v>16</v>
      </c>
      <c r="E27" s="83" t="str">
        <f>VLOOKUP(16,'Predictions &amp; Results'!$D$12:$Z$115,2,FALSE())</f>
        <v>16 Jun</v>
      </c>
      <c r="F27" s="83" t="str">
        <f>VLOOKUP(16,'Predictions &amp; Results'!$D$12:$Z$115,3,FALSE())</f>
        <v>Tue</v>
      </c>
      <c r="G27" s="83" t="str">
        <f>VLOOKUP(16,'Predictions &amp; Results'!$D$12:$Z$115,4,FALSE())</f>
        <v>02:00</v>
      </c>
      <c r="H27" s="106" t="s">
        <v>53</v>
      </c>
      <c r="I27" s="84" t="str">
        <f>VLOOKUP(16,'Predictions &amp; Results'!$D$12:$Z$115,6,FALSE())</f>
        <v>🇮🇷 Iran</v>
      </c>
      <c r="J27" s="84" t="str">
        <f>VLOOKUP(16,'Predictions &amp; Results'!$D$12:$Z$115,7,FALSE())</f>
        <v>🇳🇿 New Zealand</v>
      </c>
      <c r="K27" s="105" t="str">
        <f>VLOOKUP(16,'Predictions &amp; Results'!$D$12:$Z$115,9,FALSE())</f>
        <v>Inglewood (Los Angeles)</v>
      </c>
      <c r="L27" s="105" t="s">
        <v>21</v>
      </c>
      <c r="M27" s="106" t="str">
        <f>VLOOKUP(16,'Predictions &amp; Results'!$D$12:$Z$115,19,FALSE())</f>
        <v>BBC</v>
      </c>
      <c r="N27" s="24" t="str">
        <f>VLOOKUP(16,'Predictions &amp; Results'!$D$12:$Z$115,18,FALSE())</f>
        <v/>
      </c>
      <c r="O27" s="195"/>
      <c r="P27" s="21"/>
      <c r="Q27" s="21"/>
      <c r="R27" s="21"/>
      <c r="S27" s="21"/>
      <c r="T27" s="21"/>
      <c r="U27" s="23"/>
      <c r="V27" s="23"/>
      <c r="W27" s="23"/>
      <c r="X27" s="23"/>
      <c r="Y27" s="23"/>
      <c r="Z27" s="23"/>
      <c r="AA27" s="23"/>
      <c r="AB27" s="23"/>
      <c r="AC27" s="23"/>
      <c r="AD27" s="23"/>
    </row>
    <row r="28" spans="2:30" ht="16.5" customHeight="1">
      <c r="B28" s="25"/>
      <c r="C28" s="192"/>
      <c r="D28" s="106">
        <v>17</v>
      </c>
      <c r="E28" s="83" t="str">
        <f>VLOOKUP(17,'Predictions &amp; Results'!$D$12:$Z$115,2,FALSE())</f>
        <v>16 Jun</v>
      </c>
      <c r="F28" s="83" t="str">
        <f>VLOOKUP(17,'Predictions &amp; Results'!$D$12:$Z$115,3,FALSE())</f>
        <v>Tue</v>
      </c>
      <c r="G28" s="83" t="str">
        <f>VLOOKUP(17,'Predictions &amp; Results'!$D$12:$Z$115,4,FALSE())</f>
        <v>20:00</v>
      </c>
      <c r="H28" s="106" t="s">
        <v>62</v>
      </c>
      <c r="I28" s="84" t="str">
        <f>VLOOKUP(17,'Predictions &amp; Results'!$D$12:$Z$115,6,FALSE())</f>
        <v>🇫🇷 France</v>
      </c>
      <c r="J28" s="84" t="str">
        <f>VLOOKUP(17,'Predictions &amp; Results'!$D$12:$Z$115,7,FALSE())</f>
        <v>🇸🇳 Senegal</v>
      </c>
      <c r="K28" s="105" t="str">
        <f>VLOOKUP(17,'Predictions &amp; Results'!$D$12:$Z$115,9,FALSE())</f>
        <v>East Rutherford (NY/NJ)</v>
      </c>
      <c r="L28" s="105" t="s">
        <v>28</v>
      </c>
      <c r="M28" s="106" t="str">
        <f>VLOOKUP(17,'Predictions &amp; Results'!$D$12:$Z$115,19,FALSE())</f>
        <v>BBC</v>
      </c>
      <c r="N28" s="24" t="str">
        <f>VLOOKUP(17,'Predictions &amp; Results'!$D$12:$Z$115,18,FALSE())</f>
        <v/>
      </c>
      <c r="O28" s="195"/>
      <c r="P28" s="21"/>
      <c r="Q28" s="21"/>
      <c r="R28" s="21"/>
      <c r="S28" s="21"/>
      <c r="T28" s="21"/>
      <c r="U28" s="23"/>
      <c r="V28" s="23"/>
      <c r="W28" s="23"/>
      <c r="X28" s="23"/>
      <c r="Y28" s="23"/>
      <c r="Z28" s="23"/>
      <c r="AA28" s="23"/>
      <c r="AB28" s="23"/>
      <c r="AC28" s="23"/>
      <c r="AD28" s="23"/>
    </row>
    <row r="29" spans="2:30" ht="16.5" customHeight="1">
      <c r="B29" s="25"/>
      <c r="C29" s="192"/>
      <c r="D29" s="106">
        <v>18</v>
      </c>
      <c r="E29" s="83" t="str">
        <f>VLOOKUP(18,'Predictions &amp; Results'!$D$12:$Z$115,2,FALSE())</f>
        <v>16 Jun</v>
      </c>
      <c r="F29" s="83" t="str">
        <f>VLOOKUP(18,'Predictions &amp; Results'!$D$12:$Z$115,3,FALSE())</f>
        <v>Tue</v>
      </c>
      <c r="G29" s="83" t="str">
        <f>VLOOKUP(18,'Predictions &amp; Results'!$D$12:$Z$115,4,FALSE())</f>
        <v>23:00</v>
      </c>
      <c r="H29" s="106" t="s">
        <v>62</v>
      </c>
      <c r="I29" s="84" t="str">
        <f>VLOOKUP(18,'Predictions &amp; Results'!$D$12:$Z$115,6,FALSE())</f>
        <v>🇮🇶 Iraq</v>
      </c>
      <c r="J29" s="84" t="str">
        <f>VLOOKUP(18,'Predictions &amp; Results'!$D$12:$Z$115,7,FALSE())</f>
        <v>🇳🇴 Norway</v>
      </c>
      <c r="K29" s="105" t="str">
        <f>VLOOKUP(18,'Predictions &amp; Results'!$D$12:$Z$115,9,FALSE())</f>
        <v>Foxborough (Boston)</v>
      </c>
      <c r="L29" s="105" t="s">
        <v>31</v>
      </c>
      <c r="M29" s="106" t="str">
        <f>VLOOKUP(18,'Predictions &amp; Results'!$D$12:$Z$115,19,FALSE())</f>
        <v>BBC</v>
      </c>
      <c r="N29" s="24" t="str">
        <f>VLOOKUP(18,'Predictions &amp; Results'!$D$12:$Z$115,18,FALSE())</f>
        <v/>
      </c>
      <c r="O29" s="195"/>
      <c r="P29" s="21"/>
      <c r="Q29" s="21"/>
      <c r="R29" s="21"/>
      <c r="S29" s="21"/>
      <c r="T29" s="21"/>
      <c r="U29" s="23"/>
      <c r="V29" s="23"/>
      <c r="W29" s="23"/>
      <c r="X29" s="23"/>
      <c r="Y29" s="23"/>
      <c r="Z29" s="23"/>
      <c r="AA29" s="23"/>
      <c r="AB29" s="23"/>
      <c r="AC29" s="23"/>
      <c r="AD29" s="23"/>
    </row>
    <row r="30" spans="2:30" ht="16.5" customHeight="1">
      <c r="B30" s="25"/>
      <c r="C30" s="192"/>
      <c r="D30" s="106">
        <v>19</v>
      </c>
      <c r="E30" s="83" t="str">
        <f>VLOOKUP(19,'Predictions &amp; Results'!$D$12:$Z$115,2,FALSE())</f>
        <v>17 Jun</v>
      </c>
      <c r="F30" s="83" t="str">
        <f>VLOOKUP(19,'Predictions &amp; Results'!$D$12:$Z$115,3,FALSE())</f>
        <v>Wed</v>
      </c>
      <c r="G30" s="83" t="str">
        <f>VLOOKUP(19,'Predictions &amp; Results'!$D$12:$Z$115,4,FALSE())</f>
        <v>02:00</v>
      </c>
      <c r="H30" s="106" t="s">
        <v>67</v>
      </c>
      <c r="I30" s="84" t="str">
        <f>VLOOKUP(19,'Predictions &amp; Results'!$D$12:$Z$115,6,FALSE())</f>
        <v>🇦🇷 Argentina</v>
      </c>
      <c r="J30" s="84" t="str">
        <f>VLOOKUP(19,'Predictions &amp; Results'!$D$12:$Z$115,7,FALSE())</f>
        <v>🇩🇿 Algeria</v>
      </c>
      <c r="K30" s="105" t="str">
        <f>VLOOKUP(19,'Predictions &amp; Results'!$D$12:$Z$115,9,FALSE())</f>
        <v>Kansas City</v>
      </c>
      <c r="L30" s="105" t="s">
        <v>70</v>
      </c>
      <c r="M30" s="106" t="str">
        <f>VLOOKUP(19,'Predictions &amp; Results'!$D$12:$Z$115,19,FALSE())</f>
        <v>ITV</v>
      </c>
      <c r="N30" s="24" t="str">
        <f>VLOOKUP(19,'Predictions &amp; Results'!$D$12:$Z$115,18,FALSE())</f>
        <v/>
      </c>
      <c r="O30" s="195"/>
      <c r="P30" s="21"/>
      <c r="Q30" s="21"/>
      <c r="R30" s="21"/>
      <c r="S30" s="21"/>
      <c r="T30" s="21"/>
      <c r="U30" s="23"/>
      <c r="V30" s="23"/>
      <c r="W30" s="23"/>
      <c r="X30" s="23"/>
      <c r="Y30" s="23"/>
      <c r="Z30" s="23"/>
      <c r="AA30" s="23"/>
      <c r="AB30" s="23"/>
      <c r="AC30" s="23"/>
      <c r="AD30" s="23"/>
    </row>
    <row r="31" spans="2:30" ht="16.5" customHeight="1">
      <c r="B31" s="25"/>
      <c r="C31" s="192"/>
      <c r="D31" s="106">
        <v>20</v>
      </c>
      <c r="E31" s="83" t="str">
        <f>VLOOKUP(20,'Predictions &amp; Results'!$D$12:$Z$115,2,FALSE())</f>
        <v>17 Jun</v>
      </c>
      <c r="F31" s="83" t="str">
        <f>VLOOKUP(20,'Predictions &amp; Results'!$D$12:$Z$115,3,FALSE())</f>
        <v>Wed</v>
      </c>
      <c r="G31" s="83" t="str">
        <f>VLOOKUP(20,'Predictions &amp; Results'!$D$12:$Z$115,4,FALSE())</f>
        <v>05:00</v>
      </c>
      <c r="H31" s="106" t="s">
        <v>67</v>
      </c>
      <c r="I31" s="84" t="str">
        <f>VLOOKUP(20,'Predictions &amp; Results'!$D$12:$Z$115,6,FALSE())</f>
        <v>🇦🇹 Austria</v>
      </c>
      <c r="J31" s="84" t="str">
        <f>VLOOKUP(20,'Predictions &amp; Results'!$D$12:$Z$115,7,FALSE())</f>
        <v>🇯🇴 Jordan</v>
      </c>
      <c r="K31" s="105" t="str">
        <f>VLOOKUP(20,'Predictions &amp; Results'!$D$12:$Z$115,9,FALSE())</f>
        <v>Santa Clara (SF Bay Area)</v>
      </c>
      <c r="L31" s="105" t="s">
        <v>24</v>
      </c>
      <c r="M31" s="106" t="str">
        <f>VLOOKUP(20,'Predictions &amp; Results'!$D$12:$Z$115,19,FALSE())</f>
        <v>BBC</v>
      </c>
      <c r="N31" s="24" t="str">
        <f>VLOOKUP(20,'Predictions &amp; Results'!$D$12:$Z$115,18,FALSE())</f>
        <v/>
      </c>
      <c r="O31" s="195"/>
      <c r="P31" s="21"/>
      <c r="Q31" s="21"/>
      <c r="R31" s="21"/>
      <c r="S31" s="21"/>
      <c r="T31" s="21"/>
      <c r="U31" s="23"/>
      <c r="V31" s="23"/>
      <c r="W31" s="23"/>
      <c r="X31" s="23"/>
      <c r="Y31" s="23"/>
      <c r="Z31" s="23"/>
      <c r="AA31" s="23"/>
      <c r="AB31" s="23"/>
      <c r="AC31" s="23"/>
      <c r="AD31" s="23"/>
    </row>
    <row r="32" spans="2:30" ht="16.5" customHeight="1">
      <c r="B32" s="25"/>
      <c r="C32" s="192"/>
      <c r="D32" s="106">
        <v>21</v>
      </c>
      <c r="E32" s="83" t="str">
        <f>VLOOKUP(21,'Predictions &amp; Results'!$D$12:$Z$115,2,FALSE())</f>
        <v>17 Jun</v>
      </c>
      <c r="F32" s="83" t="str">
        <f>VLOOKUP(21,'Predictions &amp; Results'!$D$12:$Z$115,3,FALSE())</f>
        <v>Wed</v>
      </c>
      <c r="G32" s="83" t="str">
        <f>VLOOKUP(21,'Predictions &amp; Results'!$D$12:$Z$115,4,FALSE())</f>
        <v>18:00</v>
      </c>
      <c r="H32" s="106" t="s">
        <v>73</v>
      </c>
      <c r="I32" s="84" t="str">
        <f>VLOOKUP(21,'Predictions &amp; Results'!$D$12:$Z$115,6,FALSE())</f>
        <v>🇵🇹 Portugal</v>
      </c>
      <c r="J32" s="84" t="str">
        <f>VLOOKUP(21,'Predictions &amp; Results'!$D$12:$Z$115,7,FALSE())</f>
        <v>🇨🇩 DR Congo</v>
      </c>
      <c r="K32" s="105" t="str">
        <f>VLOOKUP(21,'Predictions &amp; Results'!$D$12:$Z$115,9,FALSE())</f>
        <v>Houston</v>
      </c>
      <c r="L32" s="105" t="s">
        <v>38</v>
      </c>
      <c r="M32" s="106" t="str">
        <f>VLOOKUP(21,'Predictions &amp; Results'!$D$12:$Z$115,19,FALSE())</f>
        <v>BBC</v>
      </c>
      <c r="N32" s="24" t="str">
        <f>VLOOKUP(21,'Predictions &amp; Results'!$D$12:$Z$115,18,FALSE())</f>
        <v/>
      </c>
      <c r="O32" s="195"/>
      <c r="P32" s="21"/>
      <c r="Q32" s="21"/>
      <c r="R32" s="21"/>
      <c r="S32" s="21"/>
      <c r="T32" s="21"/>
      <c r="U32" s="23"/>
      <c r="V32" s="23"/>
      <c r="W32" s="23"/>
      <c r="X32" s="23"/>
      <c r="Y32" s="23"/>
      <c r="Z32" s="23"/>
      <c r="AA32" s="23"/>
      <c r="AB32" s="23"/>
      <c r="AC32" s="23"/>
      <c r="AD32" s="23"/>
    </row>
    <row r="33" spans="2:30" ht="16.5" customHeight="1">
      <c r="B33" s="25"/>
      <c r="C33" s="192"/>
      <c r="D33" s="106">
        <v>22</v>
      </c>
      <c r="E33" s="83" t="str">
        <f>VLOOKUP(22,'Predictions &amp; Results'!$D$12:$Z$115,2,FALSE())</f>
        <v>17 Jun</v>
      </c>
      <c r="F33" s="83" t="str">
        <f>VLOOKUP(22,'Predictions &amp; Results'!$D$12:$Z$115,3,FALSE())</f>
        <v>Wed</v>
      </c>
      <c r="G33" s="83" t="str">
        <f>VLOOKUP(22,'Predictions &amp; Results'!$D$12:$Z$115,4,FALSE())</f>
        <v>21:00</v>
      </c>
      <c r="H33" s="106" t="s">
        <v>76</v>
      </c>
      <c r="I33" s="84" t="str">
        <f>VLOOKUP(22,'Predictions &amp; Results'!$D$12:$Z$115,6,FALSE())</f>
        <v>🏴󠁧󠁢󠁥󠁮󠁧󠁿 England</v>
      </c>
      <c r="J33" s="84" t="str">
        <f>VLOOKUP(22,'Predictions &amp; Results'!$D$12:$Z$115,7,FALSE())</f>
        <v>🇭🇷 Croatia</v>
      </c>
      <c r="K33" s="105" t="str">
        <f>VLOOKUP(22,'Predictions &amp; Results'!$D$12:$Z$115,9,FALSE())</f>
        <v>Arlington (Dallas)</v>
      </c>
      <c r="L33" s="105" t="s">
        <v>42</v>
      </c>
      <c r="M33" s="106" t="str">
        <f>VLOOKUP(22,'Predictions &amp; Results'!$D$12:$Z$115,19,FALSE())</f>
        <v>ITV</v>
      </c>
      <c r="N33" s="24" t="str">
        <f>VLOOKUP(22,'Predictions &amp; Results'!$D$12:$Z$115,18,FALSE())</f>
        <v/>
      </c>
      <c r="O33" s="195"/>
      <c r="P33" s="21"/>
      <c r="Q33" s="21"/>
      <c r="R33" s="21"/>
      <c r="S33" s="21"/>
      <c r="T33" s="21"/>
      <c r="U33" s="23"/>
      <c r="V33" s="23"/>
      <c r="W33" s="23"/>
      <c r="X33" s="23"/>
      <c r="Y33" s="23"/>
      <c r="Z33" s="23"/>
      <c r="AA33" s="23"/>
      <c r="AB33" s="23"/>
      <c r="AC33" s="23"/>
      <c r="AD33" s="23"/>
    </row>
    <row r="34" spans="2:30" ht="16.5" customHeight="1">
      <c r="B34" s="25"/>
      <c r="C34" s="192"/>
      <c r="D34" s="106">
        <v>23</v>
      </c>
      <c r="E34" s="83" t="str">
        <f>VLOOKUP(23,'Predictions &amp; Results'!$D$12:$Z$115,2,FALSE())</f>
        <v>18 Jun</v>
      </c>
      <c r="F34" s="83" t="str">
        <f>VLOOKUP(23,'Predictions &amp; Results'!$D$12:$Z$115,3,FALSE())</f>
        <v>Thu</v>
      </c>
      <c r="G34" s="83" t="str">
        <f>VLOOKUP(23,'Predictions &amp; Results'!$D$12:$Z$115,4,FALSE())</f>
        <v>00:00</v>
      </c>
      <c r="H34" s="106" t="s">
        <v>76</v>
      </c>
      <c r="I34" s="84" t="str">
        <f>VLOOKUP(23,'Predictions &amp; Results'!$D$12:$Z$115,6,FALSE())</f>
        <v>🇬🇭 Ghana</v>
      </c>
      <c r="J34" s="84" t="str">
        <f>VLOOKUP(23,'Predictions &amp; Results'!$D$12:$Z$115,7,FALSE())</f>
        <v>🇵🇦 Panama</v>
      </c>
      <c r="K34" s="105" t="str">
        <f>VLOOKUP(23,'Predictions &amp; Results'!$D$12:$Z$115,9,FALSE())</f>
        <v>Toronto</v>
      </c>
      <c r="L34" s="105" t="s">
        <v>17</v>
      </c>
      <c r="M34" s="106" t="str">
        <f>VLOOKUP(23,'Predictions &amp; Results'!$D$12:$Z$115,19,FALSE())</f>
        <v>ITV</v>
      </c>
      <c r="N34" s="24" t="str">
        <f>VLOOKUP(23,'Predictions &amp; Results'!$D$12:$Z$115,18,FALSE())</f>
        <v/>
      </c>
      <c r="O34" s="195"/>
      <c r="P34" s="21"/>
      <c r="Q34" s="21"/>
      <c r="R34" s="21"/>
      <c r="S34" s="21"/>
      <c r="T34" s="21"/>
      <c r="U34" s="23"/>
      <c r="V34" s="23"/>
      <c r="W34" s="23"/>
      <c r="X34" s="23"/>
      <c r="Y34" s="23"/>
      <c r="Z34" s="23"/>
      <c r="AA34" s="23"/>
      <c r="AB34" s="23"/>
      <c r="AC34" s="23"/>
      <c r="AD34" s="23"/>
    </row>
    <row r="35" spans="2:30" ht="16.5" customHeight="1">
      <c r="B35" s="25"/>
      <c r="C35" s="192"/>
      <c r="D35" s="106">
        <v>24</v>
      </c>
      <c r="E35" s="83" t="str">
        <f>VLOOKUP(24,'Predictions &amp; Results'!$D$12:$Z$115,2,FALSE())</f>
        <v>18 Jun</v>
      </c>
      <c r="F35" s="83" t="str">
        <f>VLOOKUP(24,'Predictions &amp; Results'!$D$12:$Z$115,3,FALSE())</f>
        <v>Thu</v>
      </c>
      <c r="G35" s="83" t="str">
        <f>VLOOKUP(24,'Predictions &amp; Results'!$D$12:$Z$115,4,FALSE())</f>
        <v>03:00</v>
      </c>
      <c r="H35" s="106" t="s">
        <v>73</v>
      </c>
      <c r="I35" s="84" t="str">
        <f>VLOOKUP(24,'Predictions &amp; Results'!$D$12:$Z$115,6,FALSE())</f>
        <v>🇺🇿 Uzbekistan</v>
      </c>
      <c r="J35" s="84" t="str">
        <f>VLOOKUP(24,'Predictions &amp; Results'!$D$12:$Z$115,7,FALSE())</f>
        <v>🇨🇴 Colombia</v>
      </c>
      <c r="K35" s="105" t="str">
        <f>VLOOKUP(24,'Predictions &amp; Results'!$D$12:$Z$115,9,FALSE())</f>
        <v>Mexico City</v>
      </c>
      <c r="L35" s="105" t="s">
        <v>10</v>
      </c>
      <c r="M35" s="106" t="str">
        <f>VLOOKUP(24,'Predictions &amp; Results'!$D$12:$Z$115,19,FALSE())</f>
        <v>BBC</v>
      </c>
      <c r="N35" s="24" t="str">
        <f>VLOOKUP(24,'Predictions &amp; Results'!$D$12:$Z$115,18,FALSE())</f>
        <v/>
      </c>
      <c r="O35" s="195"/>
      <c r="P35" s="21"/>
      <c r="Q35" s="21"/>
      <c r="R35" s="21"/>
      <c r="S35" s="21"/>
      <c r="T35" s="21"/>
      <c r="U35" s="23"/>
      <c r="V35" s="23"/>
      <c r="W35" s="23"/>
      <c r="X35" s="23"/>
      <c r="Y35" s="23"/>
      <c r="Z35" s="23"/>
      <c r="AA35" s="23"/>
      <c r="AB35" s="23"/>
      <c r="AC35" s="23"/>
      <c r="AD35" s="23"/>
    </row>
    <row r="36" spans="2:30" ht="16.5" customHeight="1">
      <c r="B36" s="25"/>
      <c r="C36" s="192"/>
      <c r="D36" s="106">
        <v>25</v>
      </c>
      <c r="E36" s="83" t="str">
        <f>VLOOKUP(25,'Predictions &amp; Results'!$D$12:$Z$115,2,FALSE())</f>
        <v>18 Jun</v>
      </c>
      <c r="F36" s="83" t="str">
        <f>VLOOKUP(25,'Predictions &amp; Results'!$D$12:$Z$115,3,FALSE())</f>
        <v>Thu</v>
      </c>
      <c r="G36" s="83" t="str">
        <f>VLOOKUP(25,'Predictions &amp; Results'!$D$12:$Z$115,4,FALSE())</f>
        <v>17:00</v>
      </c>
      <c r="H36" s="106" t="s">
        <v>7</v>
      </c>
      <c r="I36" s="84" t="str">
        <f>VLOOKUP(25,'Predictions &amp; Results'!$D$12:$Z$115,6,FALSE())</f>
        <v>🇨🇿 Czech Republic</v>
      </c>
      <c r="J36" s="84" t="str">
        <f>VLOOKUP(25,'Predictions &amp; Results'!$D$12:$Z$115,7,FALSE())</f>
        <v>🇿🇦 South Africa</v>
      </c>
      <c r="K36" s="105" t="str">
        <f>VLOOKUP(25,'Predictions &amp; Results'!$D$12:$Z$115,9,FALSE())</f>
        <v>Atlanta</v>
      </c>
      <c r="L36" s="105" t="s">
        <v>52</v>
      </c>
      <c r="M36" s="106" t="str">
        <f>VLOOKUP(25,'Predictions &amp; Results'!$D$12:$Z$115,19,FALSE())</f>
        <v>BBC</v>
      </c>
      <c r="N36" s="24" t="str">
        <f>VLOOKUP(25,'Predictions &amp; Results'!$D$12:$Z$115,18,FALSE())</f>
        <v/>
      </c>
      <c r="O36" s="195"/>
      <c r="P36" s="21"/>
      <c r="Q36" s="21"/>
      <c r="R36" s="21"/>
      <c r="S36" s="21"/>
      <c r="T36" s="21"/>
      <c r="U36" s="23"/>
      <c r="V36" s="23"/>
      <c r="W36" s="23"/>
      <c r="X36" s="23"/>
      <c r="Y36" s="23"/>
      <c r="Z36" s="23"/>
      <c r="AA36" s="23"/>
      <c r="AB36" s="23"/>
      <c r="AC36" s="23"/>
      <c r="AD36" s="23"/>
    </row>
    <row r="37" spans="2:30" ht="16.5" customHeight="1">
      <c r="B37" s="25"/>
      <c r="C37" s="192"/>
      <c r="D37" s="106">
        <v>26</v>
      </c>
      <c r="E37" s="83" t="str">
        <f>VLOOKUP(26,'Predictions &amp; Results'!$D$12:$Z$115,2,FALSE())</f>
        <v>18 Jun</v>
      </c>
      <c r="F37" s="83" t="str">
        <f>VLOOKUP(26,'Predictions &amp; Results'!$D$12:$Z$115,3,FALSE())</f>
        <v>Thu</v>
      </c>
      <c r="G37" s="83" t="str">
        <f>VLOOKUP(26,'Predictions &amp; Results'!$D$12:$Z$115,4,FALSE())</f>
        <v>20:00</v>
      </c>
      <c r="H37" s="106" t="s">
        <v>14</v>
      </c>
      <c r="I37" s="84" t="str">
        <f>VLOOKUP(26,'Predictions &amp; Results'!$D$12:$Z$115,6,FALSE())</f>
        <v>🇨🇭 Switzerland</v>
      </c>
      <c r="J37" s="84" t="str">
        <f>VLOOKUP(26,'Predictions &amp; Results'!$D$12:$Z$115,7,FALSE())</f>
        <v>🇧🇦 Bosnia &amp; Herzegovina</v>
      </c>
      <c r="K37" s="105" t="str">
        <f>VLOOKUP(26,'Predictions &amp; Results'!$D$12:$Z$115,9,FALSE())</f>
        <v>Inglewood (Los Angeles)</v>
      </c>
      <c r="L37" s="105" t="s">
        <v>21</v>
      </c>
      <c r="M37" s="106" t="str">
        <f>VLOOKUP(26,'Predictions &amp; Results'!$D$12:$Z$115,19,FALSE())</f>
        <v>ITV</v>
      </c>
      <c r="N37" s="24" t="str">
        <f>VLOOKUP(26,'Predictions &amp; Results'!$D$12:$Z$115,18,FALSE())</f>
        <v/>
      </c>
      <c r="O37" s="195"/>
      <c r="P37" s="21"/>
      <c r="Q37" s="21"/>
      <c r="R37" s="21"/>
      <c r="S37" s="21"/>
      <c r="T37" s="21"/>
      <c r="U37" s="23"/>
      <c r="V37" s="23"/>
      <c r="W37" s="23"/>
      <c r="X37" s="23"/>
      <c r="Y37" s="23"/>
      <c r="Z37" s="23"/>
      <c r="AA37" s="23"/>
      <c r="AB37" s="23"/>
      <c r="AC37" s="23"/>
      <c r="AD37" s="23"/>
    </row>
    <row r="38" spans="2:30" ht="16.5" customHeight="1">
      <c r="B38" s="25"/>
      <c r="C38" s="192"/>
      <c r="D38" s="106">
        <v>27</v>
      </c>
      <c r="E38" s="83" t="str">
        <f>VLOOKUP(27,'Predictions &amp; Results'!$D$12:$Z$115,2,FALSE())</f>
        <v>18 Jun</v>
      </c>
      <c r="F38" s="83" t="str">
        <f>VLOOKUP(27,'Predictions &amp; Results'!$D$12:$Z$115,3,FALSE())</f>
        <v>Thu</v>
      </c>
      <c r="G38" s="83" t="str">
        <f>VLOOKUP(27,'Predictions &amp; Results'!$D$12:$Z$115,4,FALSE())</f>
        <v>23:00</v>
      </c>
      <c r="H38" s="106" t="s">
        <v>14</v>
      </c>
      <c r="I38" s="84" t="str">
        <f>VLOOKUP(27,'Predictions &amp; Results'!$D$12:$Z$115,6,FALSE())</f>
        <v>🇨🇦 Canada</v>
      </c>
      <c r="J38" s="84" t="str">
        <f>VLOOKUP(27,'Predictions &amp; Results'!$D$12:$Z$115,7,FALSE())</f>
        <v>🇶🇦 Qatar</v>
      </c>
      <c r="K38" s="105" t="str">
        <f>VLOOKUP(27,'Predictions &amp; Results'!$D$12:$Z$115,9,FALSE())</f>
        <v>Vancouver</v>
      </c>
      <c r="L38" s="105" t="s">
        <v>34</v>
      </c>
      <c r="M38" s="106" t="str">
        <f>VLOOKUP(27,'Predictions &amp; Results'!$D$12:$Z$115,19,FALSE())</f>
        <v>ITV</v>
      </c>
      <c r="N38" s="24" t="str">
        <f>VLOOKUP(27,'Predictions &amp; Results'!$D$12:$Z$115,18,FALSE())</f>
        <v/>
      </c>
      <c r="O38" s="195"/>
      <c r="P38" s="21"/>
      <c r="Q38" s="21"/>
      <c r="R38" s="21"/>
      <c r="S38" s="21"/>
      <c r="T38" s="21"/>
      <c r="U38" s="23"/>
      <c r="V38" s="23"/>
      <c r="W38" s="23"/>
      <c r="X38" s="23"/>
      <c r="Y38" s="23"/>
      <c r="Z38" s="23"/>
      <c r="AA38" s="23"/>
      <c r="AB38" s="23"/>
      <c r="AC38" s="23"/>
      <c r="AD38" s="23"/>
    </row>
    <row r="39" spans="2:30" ht="16.5" customHeight="1">
      <c r="B39" s="25"/>
      <c r="C39" s="192"/>
      <c r="D39" s="106">
        <v>28</v>
      </c>
      <c r="E39" s="83" t="str">
        <f>VLOOKUP(28,'Predictions &amp; Results'!$D$12:$Z$115,2,FALSE())</f>
        <v>19 Jun</v>
      </c>
      <c r="F39" s="83" t="str">
        <f>VLOOKUP(28,'Predictions &amp; Results'!$D$12:$Z$115,3,FALSE())</f>
        <v>Fri</v>
      </c>
      <c r="G39" s="83" t="str">
        <f>VLOOKUP(28,'Predictions &amp; Results'!$D$12:$Z$115,4,FALSE())</f>
        <v>02:00</v>
      </c>
      <c r="H39" s="106" t="s">
        <v>7</v>
      </c>
      <c r="I39" s="84" t="str">
        <f>VLOOKUP(28,'Predictions &amp; Results'!$D$12:$Z$115,6,FALSE())</f>
        <v>🇲🇽 Mexico</v>
      </c>
      <c r="J39" s="84" t="str">
        <f>VLOOKUP(28,'Predictions &amp; Results'!$D$12:$Z$115,7,FALSE())</f>
        <v>🇰🇷 South Korea</v>
      </c>
      <c r="K39" s="105" t="str">
        <f>VLOOKUP(28,'Predictions &amp; Results'!$D$12:$Z$115,9,FALSE())</f>
        <v>Zapopan (Guadalajara)</v>
      </c>
      <c r="L39" s="105" t="s">
        <v>13</v>
      </c>
      <c r="M39" s="106" t="str">
        <f>VLOOKUP(28,'Predictions &amp; Results'!$D$12:$Z$115,19,FALSE())</f>
        <v>BBC</v>
      </c>
      <c r="N39" s="24" t="str">
        <f>VLOOKUP(28,'Predictions &amp; Results'!$D$12:$Z$115,18,FALSE())</f>
        <v/>
      </c>
      <c r="O39" s="195"/>
      <c r="P39" s="21"/>
      <c r="Q39" s="21"/>
      <c r="R39" s="21"/>
      <c r="S39" s="21"/>
      <c r="T39" s="21"/>
      <c r="U39" s="23"/>
      <c r="V39" s="23"/>
      <c r="W39" s="23"/>
      <c r="X39" s="23"/>
      <c r="Y39" s="23"/>
      <c r="Z39" s="23"/>
      <c r="AA39" s="23"/>
      <c r="AB39" s="23"/>
      <c r="AC39" s="23"/>
      <c r="AD39" s="23"/>
    </row>
    <row r="40" spans="2:30" ht="16.5" customHeight="1">
      <c r="B40" s="25"/>
      <c r="C40" s="192"/>
      <c r="D40" s="106">
        <v>29</v>
      </c>
      <c r="E40" s="83" t="str">
        <f>VLOOKUP(29,'Predictions &amp; Results'!$D$12:$Z$115,2,FALSE())</f>
        <v>19 Jun</v>
      </c>
      <c r="F40" s="83" t="str">
        <f>VLOOKUP(29,'Predictions &amp; Results'!$D$12:$Z$115,3,FALSE())</f>
        <v>Fri</v>
      </c>
      <c r="G40" s="83" t="str">
        <f>VLOOKUP(29,'Predictions &amp; Results'!$D$12:$Z$115,4,FALSE())</f>
        <v>20:00</v>
      </c>
      <c r="H40" s="106" t="s">
        <v>18</v>
      </c>
      <c r="I40" s="84" t="str">
        <f>VLOOKUP(29,'Predictions &amp; Results'!$D$12:$Z$115,6,FALSE())</f>
        <v>🇺🇸 USA</v>
      </c>
      <c r="J40" s="84" t="str">
        <f>VLOOKUP(29,'Predictions &amp; Results'!$D$12:$Z$115,7,FALSE())</f>
        <v>🇦🇺 Australia</v>
      </c>
      <c r="K40" s="105" t="str">
        <f>VLOOKUP(29,'Predictions &amp; Results'!$D$12:$Z$115,9,FALSE())</f>
        <v>Seattle</v>
      </c>
      <c r="L40" s="105" t="s">
        <v>56</v>
      </c>
      <c r="M40" s="106" t="str">
        <f>VLOOKUP(29,'Predictions &amp; Results'!$D$12:$Z$115,19,FALSE())</f>
        <v>BBC</v>
      </c>
      <c r="N40" s="24" t="str">
        <f>VLOOKUP(29,'Predictions &amp; Results'!$D$12:$Z$115,18,FALSE())</f>
        <v/>
      </c>
      <c r="O40" s="195"/>
      <c r="P40" s="21"/>
      <c r="Q40" s="21"/>
      <c r="R40" s="21"/>
      <c r="S40" s="21"/>
      <c r="T40" s="21"/>
      <c r="U40" s="23"/>
      <c r="V40" s="23"/>
      <c r="W40" s="23"/>
      <c r="X40" s="23"/>
      <c r="Y40" s="23"/>
      <c r="Z40" s="23"/>
      <c r="AA40" s="23"/>
      <c r="AB40" s="23"/>
      <c r="AC40" s="23"/>
      <c r="AD40" s="23"/>
    </row>
    <row r="41" spans="2:30" ht="16.5" customHeight="1">
      <c r="B41" s="25"/>
      <c r="C41" s="192"/>
      <c r="D41" s="106">
        <v>30</v>
      </c>
      <c r="E41" s="83" t="str">
        <f>VLOOKUP(30,'Predictions &amp; Results'!$D$12:$Z$115,2,FALSE())</f>
        <v>19 Jun</v>
      </c>
      <c r="F41" s="83" t="str">
        <f>VLOOKUP(30,'Predictions &amp; Results'!$D$12:$Z$115,3,FALSE())</f>
        <v>Fri</v>
      </c>
      <c r="G41" s="83" t="str">
        <f>VLOOKUP(30,'Predictions &amp; Results'!$D$12:$Z$115,4,FALSE())</f>
        <v>23:00</v>
      </c>
      <c r="H41" s="106" t="s">
        <v>25</v>
      </c>
      <c r="I41" s="84" t="str">
        <f>VLOOKUP(30,'Predictions &amp; Results'!$D$12:$Z$115,6,FALSE())</f>
        <v>🏴󠁧󠁢󠁳󠁣󠁴󠁿 Scotland</v>
      </c>
      <c r="J41" s="84" t="str">
        <f>VLOOKUP(30,'Predictions &amp; Results'!$D$12:$Z$115,7,FALSE())</f>
        <v>🇲🇦 Morocco</v>
      </c>
      <c r="K41" s="105" t="str">
        <f>VLOOKUP(30,'Predictions &amp; Results'!$D$12:$Z$115,9,FALSE())</f>
        <v>Foxborough (Boston)</v>
      </c>
      <c r="L41" s="105" t="s">
        <v>31</v>
      </c>
      <c r="M41" s="106" t="str">
        <f>VLOOKUP(30,'Predictions &amp; Results'!$D$12:$Z$115,19,FALSE())</f>
        <v>ITV</v>
      </c>
      <c r="N41" s="24" t="str">
        <f>VLOOKUP(30,'Predictions &amp; Results'!$D$12:$Z$115,18,FALSE())</f>
        <v/>
      </c>
      <c r="O41" s="195"/>
      <c r="P41" s="21"/>
      <c r="Q41" s="21"/>
      <c r="R41" s="21"/>
      <c r="S41" s="21"/>
      <c r="T41" s="21"/>
      <c r="U41" s="23"/>
      <c r="V41" s="23"/>
      <c r="W41" s="23"/>
      <c r="X41" s="23"/>
      <c r="Y41" s="23"/>
      <c r="Z41" s="23"/>
      <c r="AA41" s="23"/>
      <c r="AB41" s="23"/>
      <c r="AC41" s="23"/>
      <c r="AD41" s="23"/>
    </row>
    <row r="42" spans="2:30" ht="16.5" customHeight="1">
      <c r="B42" s="25"/>
      <c r="C42" s="192"/>
      <c r="D42" s="106">
        <v>31</v>
      </c>
      <c r="E42" s="83" t="str">
        <f>VLOOKUP(31,'Predictions &amp; Results'!$D$12:$Z$115,2,FALSE())</f>
        <v>20 Jun</v>
      </c>
      <c r="F42" s="83" t="str">
        <f>VLOOKUP(31,'Predictions &amp; Results'!$D$12:$Z$115,3,FALSE())</f>
        <v>Sat</v>
      </c>
      <c r="G42" s="83" t="str">
        <f>VLOOKUP(31,'Predictions &amp; Results'!$D$12:$Z$115,4,FALSE())</f>
        <v>01:30</v>
      </c>
      <c r="H42" s="106" t="s">
        <v>25</v>
      </c>
      <c r="I42" s="84" t="str">
        <f>VLOOKUP(31,'Predictions &amp; Results'!$D$12:$Z$115,6,FALSE())</f>
        <v>🇧🇷 Brazil</v>
      </c>
      <c r="J42" s="84" t="str">
        <f>VLOOKUP(31,'Predictions &amp; Results'!$D$12:$Z$115,7,FALSE())</f>
        <v>🇭🇹 Haiti</v>
      </c>
      <c r="K42" s="105" t="str">
        <f>VLOOKUP(31,'Predictions &amp; Results'!$D$12:$Z$115,9,FALSE())</f>
        <v>Philadelphia</v>
      </c>
      <c r="L42" s="105" t="s">
        <v>45</v>
      </c>
      <c r="M42" s="106" t="str">
        <f>VLOOKUP(31,'Predictions &amp; Results'!$D$12:$Z$115,19,FALSE())</f>
        <v>ITV</v>
      </c>
      <c r="N42" s="24" t="str">
        <f>VLOOKUP(31,'Predictions &amp; Results'!$D$12:$Z$115,18,FALSE())</f>
        <v/>
      </c>
      <c r="O42" s="195"/>
      <c r="P42" s="21"/>
      <c r="Q42" s="21"/>
      <c r="R42" s="21"/>
      <c r="S42" s="21"/>
      <c r="T42" s="21"/>
      <c r="U42" s="23"/>
      <c r="V42" s="23"/>
      <c r="W42" s="23"/>
      <c r="X42" s="23"/>
      <c r="Y42" s="23"/>
      <c r="Z42" s="23"/>
      <c r="AA42" s="23"/>
      <c r="AB42" s="23"/>
      <c r="AC42" s="23"/>
      <c r="AD42" s="23"/>
    </row>
    <row r="43" spans="2:30" ht="16.5" customHeight="1">
      <c r="B43" s="25"/>
      <c r="C43" s="192"/>
      <c r="D43" s="106">
        <v>32</v>
      </c>
      <c r="E43" s="83" t="str">
        <f>VLOOKUP(32,'Predictions &amp; Results'!$D$12:$Z$115,2,FALSE())</f>
        <v>20 Jun</v>
      </c>
      <c r="F43" s="83" t="str">
        <f>VLOOKUP(32,'Predictions &amp; Results'!$D$12:$Z$115,3,FALSE())</f>
        <v>Sat</v>
      </c>
      <c r="G43" s="83" t="str">
        <f>VLOOKUP(32,'Predictions &amp; Results'!$D$12:$Z$115,4,FALSE())</f>
        <v>04:00</v>
      </c>
      <c r="H43" s="106" t="s">
        <v>18</v>
      </c>
      <c r="I43" s="84" t="str">
        <f>VLOOKUP(32,'Predictions &amp; Results'!$D$12:$Z$115,6,FALSE())</f>
        <v>🇹🇷 Turkey</v>
      </c>
      <c r="J43" s="84" t="str">
        <f>VLOOKUP(32,'Predictions &amp; Results'!$D$12:$Z$115,7,FALSE())</f>
        <v>🇵🇾 Paraguay</v>
      </c>
      <c r="K43" s="105" t="str">
        <f>VLOOKUP(32,'Predictions &amp; Results'!$D$12:$Z$115,9,FALSE())</f>
        <v>Santa Clara (SF Bay Area)</v>
      </c>
      <c r="L43" s="105" t="s">
        <v>24</v>
      </c>
      <c r="M43" s="106" t="str">
        <f>VLOOKUP(32,'Predictions &amp; Results'!$D$12:$Z$115,19,FALSE())</f>
        <v>ITV</v>
      </c>
      <c r="N43" s="24" t="str">
        <f>VLOOKUP(32,'Predictions &amp; Results'!$D$12:$Z$115,18,FALSE())</f>
        <v/>
      </c>
      <c r="O43" s="195"/>
      <c r="P43" s="21"/>
      <c r="Q43" s="21"/>
      <c r="R43" s="21"/>
      <c r="S43" s="21"/>
      <c r="T43" s="21"/>
      <c r="U43" s="23"/>
      <c r="V43" s="23"/>
      <c r="W43" s="23"/>
      <c r="X43" s="23"/>
      <c r="Y43" s="23"/>
      <c r="Z43" s="23"/>
      <c r="AA43" s="23"/>
      <c r="AB43" s="23"/>
      <c r="AC43" s="23"/>
      <c r="AD43" s="23"/>
    </row>
    <row r="44" spans="2:30" ht="16.5" customHeight="1">
      <c r="B44" s="25"/>
      <c r="C44" s="192"/>
      <c r="D44" s="106">
        <v>33</v>
      </c>
      <c r="E44" s="83" t="str">
        <f>VLOOKUP(33,'Predictions &amp; Results'!$D$12:$Z$115,2,FALSE())</f>
        <v>20 Jun</v>
      </c>
      <c r="F44" s="83" t="str">
        <f>VLOOKUP(33,'Predictions &amp; Results'!$D$12:$Z$115,3,FALSE())</f>
        <v>Sat</v>
      </c>
      <c r="G44" s="83" t="str">
        <f>VLOOKUP(33,'Predictions &amp; Results'!$D$12:$Z$115,4,FALSE())</f>
        <v>18:00</v>
      </c>
      <c r="H44" s="106" t="s">
        <v>39</v>
      </c>
      <c r="I44" s="84" t="str">
        <f>VLOOKUP(33,'Predictions &amp; Results'!$D$12:$Z$115,6,FALSE())</f>
        <v>🇳🇱 Netherlands</v>
      </c>
      <c r="J44" s="84" t="str">
        <f>VLOOKUP(33,'Predictions &amp; Results'!$D$12:$Z$115,7,FALSE())</f>
        <v>🇸🇪 Sweden</v>
      </c>
      <c r="K44" s="105" t="str">
        <f>VLOOKUP(33,'Predictions &amp; Results'!$D$12:$Z$115,9,FALSE())</f>
        <v>Houston</v>
      </c>
      <c r="L44" s="105" t="s">
        <v>38</v>
      </c>
      <c r="M44" s="106" t="str">
        <f>VLOOKUP(33,'Predictions &amp; Results'!$D$12:$Z$115,19,FALSE())</f>
        <v>BBC</v>
      </c>
      <c r="N44" s="24" t="str">
        <f>VLOOKUP(33,'Predictions &amp; Results'!$D$12:$Z$115,18,FALSE())</f>
        <v/>
      </c>
      <c r="O44" s="195"/>
      <c r="P44" s="21"/>
      <c r="Q44" s="21"/>
      <c r="R44" s="21"/>
      <c r="S44" s="21"/>
      <c r="T44" s="21"/>
      <c r="U44" s="23"/>
      <c r="V44" s="23"/>
      <c r="W44" s="23"/>
      <c r="X44" s="23"/>
      <c r="Y44" s="23"/>
      <c r="Z44" s="23"/>
      <c r="AA44" s="23"/>
      <c r="AB44" s="23"/>
      <c r="AC44" s="23"/>
      <c r="AD44" s="23"/>
    </row>
    <row r="45" spans="2:30" ht="16.5" customHeight="1">
      <c r="B45" s="25"/>
      <c r="C45" s="192"/>
      <c r="D45" s="106">
        <v>34</v>
      </c>
      <c r="E45" s="83" t="str">
        <f>VLOOKUP(34,'Predictions &amp; Results'!$D$12:$Z$115,2,FALSE())</f>
        <v>20 Jun</v>
      </c>
      <c r="F45" s="83" t="str">
        <f>VLOOKUP(34,'Predictions &amp; Results'!$D$12:$Z$115,3,FALSE())</f>
        <v>Sat</v>
      </c>
      <c r="G45" s="83" t="str">
        <f>VLOOKUP(34,'Predictions &amp; Results'!$D$12:$Z$115,4,FALSE())</f>
        <v>21:00</v>
      </c>
      <c r="H45" s="106" t="s">
        <v>35</v>
      </c>
      <c r="I45" s="84" t="str">
        <f>VLOOKUP(34,'Predictions &amp; Results'!$D$12:$Z$115,6,FALSE())</f>
        <v>🇩🇪 Germany</v>
      </c>
      <c r="J45" s="84" t="str">
        <f>VLOOKUP(34,'Predictions &amp; Results'!$D$12:$Z$115,7,FALSE())</f>
        <v>🇨🇮 Ivory Coast</v>
      </c>
      <c r="K45" s="105" t="str">
        <f>VLOOKUP(34,'Predictions &amp; Results'!$D$12:$Z$115,9,FALSE())</f>
        <v>Toronto</v>
      </c>
      <c r="L45" s="105" t="s">
        <v>17</v>
      </c>
      <c r="M45" s="106" t="str">
        <f>VLOOKUP(34,'Predictions &amp; Results'!$D$12:$Z$115,19,FALSE())</f>
        <v>ITV</v>
      </c>
      <c r="N45" s="24" t="str">
        <f>VLOOKUP(34,'Predictions &amp; Results'!$D$12:$Z$115,18,FALSE())</f>
        <v/>
      </c>
      <c r="O45" s="195"/>
      <c r="P45" s="21"/>
      <c r="Q45" s="21"/>
      <c r="R45" s="21"/>
      <c r="S45" s="21"/>
      <c r="T45" s="21"/>
      <c r="U45" s="23"/>
      <c r="V45" s="23"/>
      <c r="W45" s="23"/>
      <c r="X45" s="23"/>
      <c r="Y45" s="23"/>
      <c r="Z45" s="23"/>
      <c r="AA45" s="23"/>
      <c r="AB45" s="23"/>
      <c r="AC45" s="23"/>
      <c r="AD45" s="23"/>
    </row>
    <row r="46" spans="2:30" ht="16.5" customHeight="1">
      <c r="B46" s="25"/>
      <c r="C46" s="192"/>
      <c r="D46" s="106">
        <v>35</v>
      </c>
      <c r="E46" s="83" t="str">
        <f>VLOOKUP(35,'Predictions &amp; Results'!$D$12:$Z$115,2,FALSE())</f>
        <v>21 Jun</v>
      </c>
      <c r="F46" s="83" t="str">
        <f>VLOOKUP(35,'Predictions &amp; Results'!$D$12:$Z$115,3,FALSE())</f>
        <v>Sun</v>
      </c>
      <c r="G46" s="83" t="str">
        <f>VLOOKUP(35,'Predictions &amp; Results'!$D$12:$Z$115,4,FALSE())</f>
        <v>01:00</v>
      </c>
      <c r="H46" s="106" t="s">
        <v>35</v>
      </c>
      <c r="I46" s="84" t="str">
        <f>VLOOKUP(35,'Predictions &amp; Results'!$D$12:$Z$115,6,FALSE())</f>
        <v>🇪🇨 Ecuador</v>
      </c>
      <c r="J46" s="84" t="str">
        <f>VLOOKUP(35,'Predictions &amp; Results'!$D$12:$Z$115,7,FALSE())</f>
        <v>🇨🇼 Curaçao</v>
      </c>
      <c r="K46" s="105" t="str">
        <f>VLOOKUP(35,'Predictions &amp; Results'!$D$12:$Z$115,9,FALSE())</f>
        <v>Kansas City</v>
      </c>
      <c r="L46" s="105" t="s">
        <v>70</v>
      </c>
      <c r="M46" s="106" t="str">
        <f>VLOOKUP(35,'Predictions &amp; Results'!$D$12:$Z$115,19,FALSE())</f>
        <v>BBC</v>
      </c>
      <c r="N46" s="24" t="str">
        <f>VLOOKUP(35,'Predictions &amp; Results'!$D$12:$Z$115,18,FALSE())</f>
        <v/>
      </c>
      <c r="O46" s="195"/>
      <c r="P46" s="21"/>
      <c r="Q46" s="21"/>
      <c r="R46" s="21"/>
      <c r="S46" s="21"/>
      <c r="T46" s="21"/>
      <c r="U46" s="23"/>
      <c r="V46" s="23"/>
      <c r="W46" s="23"/>
      <c r="X46" s="23"/>
      <c r="Y46" s="23"/>
      <c r="Z46" s="23"/>
      <c r="AA46" s="23"/>
      <c r="AB46" s="23"/>
      <c r="AC46" s="23"/>
      <c r="AD46" s="23"/>
    </row>
    <row r="47" spans="2:30" ht="16.5" customHeight="1">
      <c r="B47" s="25"/>
      <c r="C47" s="192"/>
      <c r="D47" s="106">
        <v>36</v>
      </c>
      <c r="E47" s="83" t="str">
        <f>VLOOKUP(36,'Predictions &amp; Results'!$D$12:$Z$115,2,FALSE())</f>
        <v>21 Jun</v>
      </c>
      <c r="F47" s="83" t="str">
        <f>VLOOKUP(36,'Predictions &amp; Results'!$D$12:$Z$115,3,FALSE())</f>
        <v>Sun</v>
      </c>
      <c r="G47" s="83" t="str">
        <f>VLOOKUP(36,'Predictions &amp; Results'!$D$12:$Z$115,4,FALSE())</f>
        <v>05:00</v>
      </c>
      <c r="H47" s="106" t="s">
        <v>39</v>
      </c>
      <c r="I47" s="84" t="str">
        <f>VLOOKUP(36,'Predictions &amp; Results'!$D$12:$Z$115,6,FALSE())</f>
        <v>🇹🇳 Tunisia</v>
      </c>
      <c r="J47" s="84" t="str">
        <f>VLOOKUP(36,'Predictions &amp; Results'!$D$12:$Z$115,7,FALSE())</f>
        <v>🇯🇵 Japan</v>
      </c>
      <c r="K47" s="105" t="str">
        <f>VLOOKUP(36,'Predictions &amp; Results'!$D$12:$Z$115,9,FALSE())</f>
        <v>Monterrey</v>
      </c>
      <c r="L47" s="105" t="s">
        <v>48</v>
      </c>
      <c r="M47" s="106" t="str">
        <f>VLOOKUP(36,'Predictions &amp; Results'!$D$12:$Z$115,19,FALSE())</f>
        <v>BBC</v>
      </c>
      <c r="N47" s="24" t="str">
        <f>VLOOKUP(36,'Predictions &amp; Results'!$D$12:$Z$115,18,FALSE())</f>
        <v/>
      </c>
      <c r="O47" s="195"/>
      <c r="P47" s="21"/>
      <c r="Q47" s="21"/>
      <c r="R47" s="21"/>
      <c r="S47" s="21"/>
      <c r="T47" s="21"/>
      <c r="U47" s="23"/>
      <c r="V47" s="23"/>
      <c r="W47" s="23"/>
      <c r="X47" s="23"/>
      <c r="Y47" s="23"/>
      <c r="Z47" s="23"/>
      <c r="AA47" s="23"/>
      <c r="AB47" s="23"/>
      <c r="AC47" s="23"/>
      <c r="AD47" s="23"/>
    </row>
    <row r="48" spans="2:30" ht="16.5" customHeight="1">
      <c r="B48" s="25"/>
      <c r="C48" s="192"/>
      <c r="D48" s="106">
        <v>37</v>
      </c>
      <c r="E48" s="83" t="str">
        <f>VLOOKUP(37,'Predictions &amp; Results'!$D$12:$Z$115,2,FALSE())</f>
        <v>21 Jun</v>
      </c>
      <c r="F48" s="83" t="str">
        <f>VLOOKUP(37,'Predictions &amp; Results'!$D$12:$Z$115,3,FALSE())</f>
        <v>Sun</v>
      </c>
      <c r="G48" s="83" t="str">
        <f>VLOOKUP(37,'Predictions &amp; Results'!$D$12:$Z$115,4,FALSE())</f>
        <v>17:00</v>
      </c>
      <c r="H48" s="106" t="s">
        <v>49</v>
      </c>
      <c r="I48" s="84" t="str">
        <f>VLOOKUP(37,'Predictions &amp; Results'!$D$12:$Z$115,6,FALSE())</f>
        <v>🇪🇸 Spain</v>
      </c>
      <c r="J48" s="84" t="str">
        <f>VLOOKUP(37,'Predictions &amp; Results'!$D$12:$Z$115,7,FALSE())</f>
        <v>🇸🇦 Saudi Arabia</v>
      </c>
      <c r="K48" s="105" t="str">
        <f>VLOOKUP(37,'Predictions &amp; Results'!$D$12:$Z$115,9,FALSE())</f>
        <v>Atlanta</v>
      </c>
      <c r="L48" s="105" t="s">
        <v>52</v>
      </c>
      <c r="M48" s="106" t="str">
        <f>VLOOKUP(37,'Predictions &amp; Results'!$D$12:$Z$115,19,FALSE())</f>
        <v>BBC</v>
      </c>
      <c r="N48" s="24" t="str">
        <f>VLOOKUP(37,'Predictions &amp; Results'!$D$12:$Z$115,18,FALSE())</f>
        <v/>
      </c>
      <c r="O48" s="195"/>
      <c r="P48" s="21"/>
      <c r="Q48" s="21"/>
      <c r="R48" s="21"/>
      <c r="S48" s="21"/>
      <c r="T48" s="21"/>
      <c r="U48" s="23"/>
      <c r="V48" s="23"/>
      <c r="W48" s="23"/>
      <c r="X48" s="23"/>
      <c r="Y48" s="23"/>
      <c r="Z48" s="23"/>
      <c r="AA48" s="23"/>
      <c r="AB48" s="23"/>
      <c r="AC48" s="23"/>
      <c r="AD48" s="23"/>
    </row>
    <row r="49" spans="2:30" ht="16.5" customHeight="1">
      <c r="B49" s="25"/>
      <c r="C49" s="192"/>
      <c r="D49" s="106">
        <v>38</v>
      </c>
      <c r="E49" s="83" t="str">
        <f>VLOOKUP(38,'Predictions &amp; Results'!$D$12:$Z$115,2,FALSE())</f>
        <v>21 Jun</v>
      </c>
      <c r="F49" s="83" t="str">
        <f>VLOOKUP(38,'Predictions &amp; Results'!$D$12:$Z$115,3,FALSE())</f>
        <v>Sun</v>
      </c>
      <c r="G49" s="83" t="str">
        <f>VLOOKUP(38,'Predictions &amp; Results'!$D$12:$Z$115,4,FALSE())</f>
        <v>20:00</v>
      </c>
      <c r="H49" s="106" t="s">
        <v>53</v>
      </c>
      <c r="I49" s="84" t="str">
        <f>VLOOKUP(38,'Predictions &amp; Results'!$D$12:$Z$115,6,FALSE())</f>
        <v>🇧🇪 Belgium</v>
      </c>
      <c r="J49" s="84" t="str">
        <f>VLOOKUP(38,'Predictions &amp; Results'!$D$12:$Z$115,7,FALSE())</f>
        <v>🇮🇷 Iran</v>
      </c>
      <c r="K49" s="105" t="str">
        <f>VLOOKUP(38,'Predictions &amp; Results'!$D$12:$Z$115,9,FALSE())</f>
        <v>Inglewood (Los Angeles)</v>
      </c>
      <c r="L49" s="105" t="s">
        <v>21</v>
      </c>
      <c r="M49" s="106" t="str">
        <f>VLOOKUP(38,'Predictions &amp; Results'!$D$12:$Z$115,19,FALSE())</f>
        <v>ITV</v>
      </c>
      <c r="N49" s="24" t="str">
        <f>VLOOKUP(38,'Predictions &amp; Results'!$D$12:$Z$115,18,FALSE())</f>
        <v/>
      </c>
      <c r="O49" s="195"/>
      <c r="P49" s="21"/>
      <c r="Q49" s="21"/>
      <c r="R49" s="21"/>
      <c r="S49" s="21"/>
      <c r="T49" s="21"/>
      <c r="U49" s="23"/>
      <c r="V49" s="23"/>
      <c r="W49" s="23"/>
      <c r="X49" s="23"/>
      <c r="Y49" s="23"/>
      <c r="Z49" s="23"/>
      <c r="AA49" s="23"/>
      <c r="AB49" s="23"/>
      <c r="AC49" s="23"/>
      <c r="AD49" s="23"/>
    </row>
    <row r="50" spans="2:30" ht="16.5" customHeight="1">
      <c r="B50" s="25"/>
      <c r="C50" s="192"/>
      <c r="D50" s="106">
        <v>39</v>
      </c>
      <c r="E50" s="83" t="str">
        <f>VLOOKUP(39,'Predictions &amp; Results'!$D$12:$Z$115,2,FALSE())</f>
        <v>21 Jun</v>
      </c>
      <c r="F50" s="83" t="str">
        <f>VLOOKUP(39,'Predictions &amp; Results'!$D$12:$Z$115,3,FALSE())</f>
        <v>Sun</v>
      </c>
      <c r="G50" s="83" t="str">
        <f>VLOOKUP(39,'Predictions &amp; Results'!$D$12:$Z$115,4,FALSE())</f>
        <v>23:00</v>
      </c>
      <c r="H50" s="106" t="s">
        <v>49</v>
      </c>
      <c r="I50" s="84" t="str">
        <f>VLOOKUP(39,'Predictions &amp; Results'!$D$12:$Z$115,6,FALSE())</f>
        <v>🇺🇾 Uruguay</v>
      </c>
      <c r="J50" s="84" t="str">
        <f>VLOOKUP(39,'Predictions &amp; Results'!$D$12:$Z$115,7,FALSE())</f>
        <v>🇨🇻 Cape Verde</v>
      </c>
      <c r="K50" s="105" t="str">
        <f>VLOOKUP(39,'Predictions &amp; Results'!$D$12:$Z$115,9,FALSE())</f>
        <v>Miami Gardens</v>
      </c>
      <c r="L50" s="105" t="s">
        <v>59</v>
      </c>
      <c r="M50" s="106" t="str">
        <f>VLOOKUP(39,'Predictions &amp; Results'!$D$12:$Z$115,19,FALSE())</f>
        <v>BBC</v>
      </c>
      <c r="N50" s="24" t="str">
        <f>VLOOKUP(39,'Predictions &amp; Results'!$D$12:$Z$115,18,FALSE())</f>
        <v/>
      </c>
      <c r="O50" s="195"/>
      <c r="P50" s="21"/>
      <c r="Q50" s="21"/>
      <c r="R50" s="21"/>
      <c r="S50" s="21"/>
      <c r="T50" s="21"/>
      <c r="U50" s="23"/>
      <c r="V50" s="23"/>
      <c r="W50" s="23"/>
      <c r="X50" s="23"/>
      <c r="Y50" s="23"/>
      <c r="Z50" s="23"/>
      <c r="AA50" s="23"/>
      <c r="AB50" s="23"/>
      <c r="AC50" s="23"/>
      <c r="AD50" s="23"/>
    </row>
    <row r="51" spans="2:30" ht="16.5" customHeight="1">
      <c r="B51" s="25"/>
      <c r="C51" s="192"/>
      <c r="D51" s="106">
        <v>40</v>
      </c>
      <c r="E51" s="83" t="str">
        <f>VLOOKUP(40,'Predictions &amp; Results'!$D$12:$Z$115,2,FALSE())</f>
        <v>22 Jun</v>
      </c>
      <c r="F51" s="83" t="str">
        <f>VLOOKUP(40,'Predictions &amp; Results'!$D$12:$Z$115,3,FALSE())</f>
        <v>Mon</v>
      </c>
      <c r="G51" s="83" t="str">
        <f>VLOOKUP(40,'Predictions &amp; Results'!$D$12:$Z$115,4,FALSE())</f>
        <v>02:00</v>
      </c>
      <c r="H51" s="106" t="s">
        <v>53</v>
      </c>
      <c r="I51" s="84" t="str">
        <f>VLOOKUP(40,'Predictions &amp; Results'!$D$12:$Z$115,6,FALSE())</f>
        <v>🇳🇿 New Zealand</v>
      </c>
      <c r="J51" s="84" t="str">
        <f>VLOOKUP(40,'Predictions &amp; Results'!$D$12:$Z$115,7,FALSE())</f>
        <v>🇪🇬 Egypt</v>
      </c>
      <c r="K51" s="105" t="str">
        <f>VLOOKUP(40,'Predictions &amp; Results'!$D$12:$Z$115,9,FALSE())</f>
        <v>Vancouver</v>
      </c>
      <c r="L51" s="105" t="s">
        <v>34</v>
      </c>
      <c r="M51" s="106" t="str">
        <f>VLOOKUP(40,'Predictions &amp; Results'!$D$12:$Z$115,19,FALSE())</f>
        <v>ITV</v>
      </c>
      <c r="N51" s="24" t="str">
        <f>VLOOKUP(40,'Predictions &amp; Results'!$D$12:$Z$115,18,FALSE())</f>
        <v/>
      </c>
      <c r="O51" s="195"/>
      <c r="P51" s="21"/>
      <c r="Q51" s="21"/>
      <c r="R51" s="21"/>
      <c r="S51" s="21"/>
      <c r="T51" s="21"/>
      <c r="U51" s="23"/>
      <c r="V51" s="23"/>
      <c r="W51" s="23"/>
      <c r="X51" s="23"/>
      <c r="Y51" s="23"/>
      <c r="Z51" s="23"/>
      <c r="AA51" s="23"/>
      <c r="AB51" s="23"/>
      <c r="AC51" s="23"/>
      <c r="AD51" s="23"/>
    </row>
    <row r="52" spans="2:30" ht="16.5" customHeight="1">
      <c r="B52" s="25"/>
      <c r="C52" s="192"/>
      <c r="D52" s="106">
        <v>41</v>
      </c>
      <c r="E52" s="83" t="str">
        <f>VLOOKUP(41,'Predictions &amp; Results'!$D$12:$Z$115,2,FALSE())</f>
        <v>22 Jun</v>
      </c>
      <c r="F52" s="83" t="str">
        <f>VLOOKUP(41,'Predictions &amp; Results'!$D$12:$Z$115,3,FALSE())</f>
        <v>Mon</v>
      </c>
      <c r="G52" s="83" t="str">
        <f>VLOOKUP(41,'Predictions &amp; Results'!$D$12:$Z$115,4,FALSE())</f>
        <v>18:00</v>
      </c>
      <c r="H52" s="106" t="s">
        <v>67</v>
      </c>
      <c r="I52" s="84" t="str">
        <f>VLOOKUP(41,'Predictions &amp; Results'!$D$12:$Z$115,6,FALSE())</f>
        <v>🇦🇷 Argentina</v>
      </c>
      <c r="J52" s="84" t="str">
        <f>VLOOKUP(41,'Predictions &amp; Results'!$D$12:$Z$115,7,FALSE())</f>
        <v>🇦🇹 Austria</v>
      </c>
      <c r="K52" s="105" t="str">
        <f>VLOOKUP(41,'Predictions &amp; Results'!$D$12:$Z$115,9,FALSE())</f>
        <v>Arlington (Dallas)</v>
      </c>
      <c r="L52" s="105" t="s">
        <v>42</v>
      </c>
      <c r="M52" s="106" t="str">
        <f>VLOOKUP(41,'Predictions &amp; Results'!$D$12:$Z$115,19,FALSE())</f>
        <v>BBC</v>
      </c>
      <c r="N52" s="24" t="str">
        <f>VLOOKUP(41,'Predictions &amp; Results'!$D$12:$Z$115,18,FALSE())</f>
        <v/>
      </c>
      <c r="O52" s="195"/>
      <c r="P52" s="21"/>
      <c r="Q52" s="21"/>
      <c r="R52" s="21"/>
      <c r="S52" s="21"/>
      <c r="T52" s="21"/>
      <c r="U52" s="23"/>
      <c r="V52" s="23"/>
      <c r="W52" s="23"/>
      <c r="X52" s="23"/>
      <c r="Y52" s="23"/>
      <c r="Z52" s="23"/>
      <c r="AA52" s="23"/>
      <c r="AB52" s="23"/>
      <c r="AC52" s="23"/>
      <c r="AD52" s="23"/>
    </row>
    <row r="53" spans="2:30" ht="16.5" customHeight="1">
      <c r="B53" s="25"/>
      <c r="C53" s="192"/>
      <c r="D53" s="106">
        <v>42</v>
      </c>
      <c r="E53" s="83" t="str">
        <f>VLOOKUP(42,'Predictions &amp; Results'!$D$12:$Z$115,2,FALSE())</f>
        <v>22 Jun</v>
      </c>
      <c r="F53" s="83" t="str">
        <f>VLOOKUP(42,'Predictions &amp; Results'!$D$12:$Z$115,3,FALSE())</f>
        <v>Mon</v>
      </c>
      <c r="G53" s="83" t="str">
        <f>VLOOKUP(42,'Predictions &amp; Results'!$D$12:$Z$115,4,FALSE())</f>
        <v>22:00</v>
      </c>
      <c r="H53" s="106" t="s">
        <v>62</v>
      </c>
      <c r="I53" s="84" t="str">
        <f>VLOOKUP(42,'Predictions &amp; Results'!$D$12:$Z$115,6,FALSE())</f>
        <v>🇫🇷 France</v>
      </c>
      <c r="J53" s="84" t="str">
        <f>VLOOKUP(42,'Predictions &amp; Results'!$D$12:$Z$115,7,FALSE())</f>
        <v>🇮🇶 Iraq</v>
      </c>
      <c r="K53" s="105" t="str">
        <f>VLOOKUP(42,'Predictions &amp; Results'!$D$12:$Z$115,9,FALSE())</f>
        <v>Philadelphia</v>
      </c>
      <c r="L53" s="105" t="s">
        <v>45</v>
      </c>
      <c r="M53" s="106" t="str">
        <f>VLOOKUP(42,'Predictions &amp; Results'!$D$12:$Z$115,19,FALSE())</f>
        <v>BBC</v>
      </c>
      <c r="N53" s="24" t="str">
        <f>VLOOKUP(42,'Predictions &amp; Results'!$D$12:$Z$115,18,FALSE())</f>
        <v/>
      </c>
      <c r="O53" s="195"/>
      <c r="P53" s="21"/>
      <c r="Q53" s="21"/>
      <c r="R53" s="21"/>
      <c r="S53" s="21"/>
      <c r="T53" s="21"/>
      <c r="U53" s="23"/>
      <c r="V53" s="23"/>
      <c r="W53" s="23"/>
      <c r="X53" s="23"/>
      <c r="Y53" s="23"/>
      <c r="Z53" s="23"/>
      <c r="AA53" s="23"/>
      <c r="AB53" s="23"/>
      <c r="AC53" s="23"/>
      <c r="AD53" s="23"/>
    </row>
    <row r="54" spans="2:30" ht="16.5" customHeight="1">
      <c r="B54" s="25"/>
      <c r="C54" s="192"/>
      <c r="D54" s="106">
        <v>43</v>
      </c>
      <c r="E54" s="83" t="str">
        <f>VLOOKUP(43,'Predictions &amp; Results'!$D$12:$Z$115,2,FALSE())</f>
        <v>23 Jun</v>
      </c>
      <c r="F54" s="83" t="str">
        <f>VLOOKUP(43,'Predictions &amp; Results'!$D$12:$Z$115,3,FALSE())</f>
        <v>Tue</v>
      </c>
      <c r="G54" s="83" t="str">
        <f>VLOOKUP(43,'Predictions &amp; Results'!$D$12:$Z$115,4,FALSE())</f>
        <v>01:00</v>
      </c>
      <c r="H54" s="106" t="s">
        <v>62</v>
      </c>
      <c r="I54" s="84" t="str">
        <f>VLOOKUP(43,'Predictions &amp; Results'!$D$12:$Z$115,6,FALSE())</f>
        <v>🇳🇴 Norway</v>
      </c>
      <c r="J54" s="84" t="str">
        <f>VLOOKUP(43,'Predictions &amp; Results'!$D$12:$Z$115,7,FALSE())</f>
        <v>🇸🇳 Senegal</v>
      </c>
      <c r="K54" s="105" t="str">
        <f>VLOOKUP(43,'Predictions &amp; Results'!$D$12:$Z$115,9,FALSE())</f>
        <v>East Rutherford (NY/NJ)</v>
      </c>
      <c r="L54" s="105" t="s">
        <v>28</v>
      </c>
      <c r="M54" s="106" t="str">
        <f>VLOOKUP(43,'Predictions &amp; Results'!$D$12:$Z$115,19,FALSE())</f>
        <v>ITV</v>
      </c>
      <c r="N54" s="24" t="str">
        <f>VLOOKUP(43,'Predictions &amp; Results'!$D$12:$Z$115,18,FALSE())</f>
        <v/>
      </c>
      <c r="O54" s="195"/>
      <c r="P54" s="21"/>
      <c r="Q54" s="21"/>
      <c r="R54" s="21"/>
      <c r="S54" s="21"/>
      <c r="T54" s="21"/>
      <c r="U54" s="23"/>
      <c r="V54" s="23"/>
      <c r="W54" s="23"/>
      <c r="X54" s="23"/>
      <c r="Y54" s="23"/>
      <c r="Z54" s="23"/>
      <c r="AA54" s="23"/>
      <c r="AB54" s="23"/>
      <c r="AC54" s="23"/>
      <c r="AD54" s="23"/>
    </row>
    <row r="55" spans="2:30" ht="16.5" customHeight="1">
      <c r="B55" s="25"/>
      <c r="C55" s="192"/>
      <c r="D55" s="106">
        <v>44</v>
      </c>
      <c r="E55" s="83" t="str">
        <f>VLOOKUP(44,'Predictions &amp; Results'!$D$12:$Z$115,2,FALSE())</f>
        <v>23 Jun</v>
      </c>
      <c r="F55" s="83" t="str">
        <f>VLOOKUP(44,'Predictions &amp; Results'!$D$12:$Z$115,3,FALSE())</f>
        <v>Tue</v>
      </c>
      <c r="G55" s="83" t="str">
        <f>VLOOKUP(44,'Predictions &amp; Results'!$D$12:$Z$115,4,FALSE())</f>
        <v>04:00</v>
      </c>
      <c r="H55" s="106" t="s">
        <v>67</v>
      </c>
      <c r="I55" s="84" t="str">
        <f>VLOOKUP(44,'Predictions &amp; Results'!$D$12:$Z$115,6,FALSE())</f>
        <v>🇯🇴 Jordan</v>
      </c>
      <c r="J55" s="84" t="str">
        <f>VLOOKUP(44,'Predictions &amp; Results'!$D$12:$Z$115,7,FALSE())</f>
        <v>🇩🇿 Algeria</v>
      </c>
      <c r="K55" s="105" t="str">
        <f>VLOOKUP(44,'Predictions &amp; Results'!$D$12:$Z$115,9,FALSE())</f>
        <v>Santa Clara (SF Bay Area)</v>
      </c>
      <c r="L55" s="105" t="s">
        <v>24</v>
      </c>
      <c r="M55" s="106" t="str">
        <f>VLOOKUP(44,'Predictions &amp; Results'!$D$12:$Z$115,19,FALSE())</f>
        <v>ITV</v>
      </c>
      <c r="N55" s="24" t="str">
        <f>VLOOKUP(44,'Predictions &amp; Results'!$D$12:$Z$115,18,FALSE())</f>
        <v/>
      </c>
      <c r="O55" s="195"/>
      <c r="P55" s="21"/>
      <c r="Q55" s="21"/>
      <c r="R55" s="21"/>
      <c r="S55" s="21"/>
      <c r="T55" s="21"/>
      <c r="U55" s="23"/>
      <c r="V55" s="23"/>
      <c r="W55" s="23"/>
      <c r="X55" s="23"/>
      <c r="Y55" s="23"/>
      <c r="Z55" s="23"/>
      <c r="AA55" s="23"/>
      <c r="AB55" s="23"/>
      <c r="AC55" s="23"/>
      <c r="AD55" s="23"/>
    </row>
    <row r="56" spans="2:30" ht="16.5" customHeight="1">
      <c r="B56" s="25"/>
      <c r="C56" s="192"/>
      <c r="D56" s="106">
        <v>45</v>
      </c>
      <c r="E56" s="83" t="str">
        <f>VLOOKUP(45,'Predictions &amp; Results'!$D$12:$Z$115,2,FALSE())</f>
        <v>23 Jun</v>
      </c>
      <c r="F56" s="83" t="str">
        <f>VLOOKUP(45,'Predictions &amp; Results'!$D$12:$Z$115,3,FALSE())</f>
        <v>Tue</v>
      </c>
      <c r="G56" s="83" t="str">
        <f>VLOOKUP(45,'Predictions &amp; Results'!$D$12:$Z$115,4,FALSE())</f>
        <v>18:00</v>
      </c>
      <c r="H56" s="106" t="s">
        <v>73</v>
      </c>
      <c r="I56" s="84" t="str">
        <f>VLOOKUP(45,'Predictions &amp; Results'!$D$12:$Z$115,6,FALSE())</f>
        <v>🇵🇹 Portugal</v>
      </c>
      <c r="J56" s="84" t="str">
        <f>VLOOKUP(45,'Predictions &amp; Results'!$D$12:$Z$115,7,FALSE())</f>
        <v>🇺🇿 Uzbekistan</v>
      </c>
      <c r="K56" s="105" t="str">
        <f>VLOOKUP(45,'Predictions &amp; Results'!$D$12:$Z$115,9,FALSE())</f>
        <v>Houston</v>
      </c>
      <c r="L56" s="105" t="s">
        <v>38</v>
      </c>
      <c r="M56" s="106" t="str">
        <f>VLOOKUP(45,'Predictions &amp; Results'!$D$12:$Z$115,19,FALSE())</f>
        <v>ITV</v>
      </c>
      <c r="N56" s="24" t="str">
        <f>VLOOKUP(45,'Predictions &amp; Results'!$D$12:$Z$115,18,FALSE())</f>
        <v/>
      </c>
      <c r="O56" s="195"/>
      <c r="P56" s="21"/>
      <c r="Q56" s="21"/>
      <c r="R56" s="21"/>
      <c r="S56" s="21"/>
      <c r="T56" s="21"/>
      <c r="U56" s="23"/>
      <c r="V56" s="23"/>
      <c r="W56" s="23"/>
      <c r="X56" s="23"/>
      <c r="Y56" s="23"/>
      <c r="Z56" s="23"/>
      <c r="AA56" s="23"/>
      <c r="AB56" s="23"/>
      <c r="AC56" s="23"/>
      <c r="AD56" s="23"/>
    </row>
    <row r="57" spans="2:30" ht="16.5" customHeight="1">
      <c r="B57" s="25"/>
      <c r="C57" s="192"/>
      <c r="D57" s="106">
        <v>46</v>
      </c>
      <c r="E57" s="83" t="str">
        <f>VLOOKUP(46,'Predictions &amp; Results'!$D$12:$Z$115,2,FALSE())</f>
        <v>23 Jun</v>
      </c>
      <c r="F57" s="83" t="str">
        <f>VLOOKUP(46,'Predictions &amp; Results'!$D$12:$Z$115,3,FALSE())</f>
        <v>Tue</v>
      </c>
      <c r="G57" s="83" t="str">
        <f>VLOOKUP(46,'Predictions &amp; Results'!$D$12:$Z$115,4,FALSE())</f>
        <v>21:00</v>
      </c>
      <c r="H57" s="106" t="s">
        <v>76</v>
      </c>
      <c r="I57" s="84" t="str">
        <f>VLOOKUP(46,'Predictions &amp; Results'!$D$12:$Z$115,6,FALSE())</f>
        <v>🏴󠁧󠁢󠁥󠁮󠁧󠁿 England</v>
      </c>
      <c r="J57" s="84" t="str">
        <f>VLOOKUP(46,'Predictions &amp; Results'!$D$12:$Z$115,7,FALSE())</f>
        <v>🇬🇭 Ghana</v>
      </c>
      <c r="K57" s="105" t="str">
        <f>VLOOKUP(46,'Predictions &amp; Results'!$D$12:$Z$115,9,FALSE())</f>
        <v>Foxborough (Boston)</v>
      </c>
      <c r="L57" s="105" t="s">
        <v>31</v>
      </c>
      <c r="M57" s="106" t="str">
        <f>VLOOKUP(46,'Predictions &amp; Results'!$D$12:$Z$115,19,FALSE())</f>
        <v>BBC</v>
      </c>
      <c r="N57" s="24" t="str">
        <f>VLOOKUP(46,'Predictions &amp; Results'!$D$12:$Z$115,18,FALSE())</f>
        <v/>
      </c>
      <c r="O57" s="195"/>
      <c r="P57" s="21"/>
      <c r="Q57" s="21"/>
      <c r="R57" s="21"/>
      <c r="S57" s="21"/>
      <c r="T57" s="21"/>
      <c r="U57" s="23"/>
      <c r="V57" s="23"/>
      <c r="W57" s="23"/>
      <c r="X57" s="23"/>
      <c r="Y57" s="23"/>
      <c r="Z57" s="23"/>
      <c r="AA57" s="23"/>
      <c r="AB57" s="23"/>
      <c r="AC57" s="23"/>
      <c r="AD57" s="23"/>
    </row>
    <row r="58" spans="2:30" ht="16.5" customHeight="1">
      <c r="B58" s="25"/>
      <c r="C58" s="192"/>
      <c r="D58" s="106">
        <v>47</v>
      </c>
      <c r="E58" s="83" t="str">
        <f>VLOOKUP(47,'Predictions &amp; Results'!$D$12:$Z$115,2,FALSE())</f>
        <v>24 Jun</v>
      </c>
      <c r="F58" s="83" t="str">
        <f>VLOOKUP(47,'Predictions &amp; Results'!$D$12:$Z$115,3,FALSE())</f>
        <v>Wed</v>
      </c>
      <c r="G58" s="83" t="str">
        <f>VLOOKUP(47,'Predictions &amp; Results'!$D$12:$Z$115,4,FALSE())</f>
        <v>00:00</v>
      </c>
      <c r="H58" s="106" t="s">
        <v>76</v>
      </c>
      <c r="I58" s="84" t="str">
        <f>VLOOKUP(47,'Predictions &amp; Results'!$D$12:$Z$115,6,FALSE())</f>
        <v>🇵🇦 Panama</v>
      </c>
      <c r="J58" s="84" t="str">
        <f>VLOOKUP(47,'Predictions &amp; Results'!$D$12:$Z$115,7,FALSE())</f>
        <v>🇭🇷 Croatia</v>
      </c>
      <c r="K58" s="105" t="str">
        <f>VLOOKUP(47,'Predictions &amp; Results'!$D$12:$Z$115,9,FALSE())</f>
        <v>Toronto</v>
      </c>
      <c r="L58" s="105" t="s">
        <v>17</v>
      </c>
      <c r="M58" s="106" t="str">
        <f>VLOOKUP(47,'Predictions &amp; Results'!$D$12:$Z$115,19,FALSE())</f>
        <v>BBC</v>
      </c>
      <c r="N58" s="24" t="str">
        <f>VLOOKUP(47,'Predictions &amp; Results'!$D$12:$Z$115,18,FALSE())</f>
        <v/>
      </c>
      <c r="O58" s="195"/>
      <c r="P58" s="21"/>
      <c r="Q58" s="21"/>
      <c r="R58" s="21"/>
      <c r="S58" s="21"/>
      <c r="T58" s="21"/>
      <c r="U58" s="23"/>
      <c r="V58" s="23"/>
      <c r="W58" s="23"/>
      <c r="X58" s="23"/>
      <c r="Y58" s="23"/>
      <c r="Z58" s="23"/>
      <c r="AA58" s="23"/>
      <c r="AB58" s="23"/>
      <c r="AC58" s="23"/>
      <c r="AD58" s="23"/>
    </row>
    <row r="59" spans="2:30" ht="16.5" customHeight="1">
      <c r="B59" s="25"/>
      <c r="C59" s="192"/>
      <c r="D59" s="106">
        <v>48</v>
      </c>
      <c r="E59" s="83" t="str">
        <f>VLOOKUP(48,'Predictions &amp; Results'!$D$12:$Z$115,2,FALSE())</f>
        <v>24 Jun</v>
      </c>
      <c r="F59" s="83" t="str">
        <f>VLOOKUP(48,'Predictions &amp; Results'!$D$12:$Z$115,3,FALSE())</f>
        <v>Wed</v>
      </c>
      <c r="G59" s="83" t="str">
        <f>VLOOKUP(48,'Predictions &amp; Results'!$D$12:$Z$115,4,FALSE())</f>
        <v>03:00</v>
      </c>
      <c r="H59" s="106" t="s">
        <v>73</v>
      </c>
      <c r="I59" s="84" t="str">
        <f>VLOOKUP(48,'Predictions &amp; Results'!$D$12:$Z$115,6,FALSE())</f>
        <v>🇨🇴 Colombia</v>
      </c>
      <c r="J59" s="84" t="str">
        <f>VLOOKUP(48,'Predictions &amp; Results'!$D$12:$Z$115,7,FALSE())</f>
        <v>🇨🇩 DR Congo</v>
      </c>
      <c r="K59" s="105" t="str">
        <f>VLOOKUP(48,'Predictions &amp; Results'!$D$12:$Z$115,9,FALSE())</f>
        <v>Zapopan (Guadalajara)</v>
      </c>
      <c r="L59" s="105" t="s">
        <v>13</v>
      </c>
      <c r="M59" s="106" t="str">
        <f>VLOOKUP(48,'Predictions &amp; Results'!$D$12:$Z$115,19,FALSE())</f>
        <v>ITV</v>
      </c>
      <c r="N59" s="24" t="str">
        <f>VLOOKUP(48,'Predictions &amp; Results'!$D$12:$Z$115,18,FALSE())</f>
        <v/>
      </c>
      <c r="O59" s="195"/>
      <c r="P59" s="21"/>
      <c r="Q59" s="21"/>
      <c r="R59" s="21"/>
      <c r="S59" s="21"/>
      <c r="T59" s="21"/>
      <c r="U59" s="23"/>
      <c r="V59" s="23"/>
      <c r="W59" s="23"/>
      <c r="X59" s="23"/>
      <c r="Y59" s="23"/>
      <c r="Z59" s="23"/>
      <c r="AA59" s="23"/>
      <c r="AB59" s="23"/>
      <c r="AC59" s="23"/>
      <c r="AD59" s="23"/>
    </row>
    <row r="60" spans="2:30" ht="16.5" customHeight="1">
      <c r="B60" s="25"/>
      <c r="C60" s="192"/>
      <c r="D60" s="106">
        <v>49</v>
      </c>
      <c r="E60" s="83" t="str">
        <f>VLOOKUP(49,'Predictions &amp; Results'!$D$12:$Z$115,2,FALSE())</f>
        <v>24 Jun</v>
      </c>
      <c r="F60" s="83" t="str">
        <f>VLOOKUP(49,'Predictions &amp; Results'!$D$12:$Z$115,3,FALSE())</f>
        <v>Wed</v>
      </c>
      <c r="G60" s="83" t="str">
        <f>VLOOKUP(49,'Predictions &amp; Results'!$D$12:$Z$115,4,FALSE())</f>
        <v>20:00</v>
      </c>
      <c r="H60" s="106" t="s">
        <v>14</v>
      </c>
      <c r="I60" s="84" t="str">
        <f>VLOOKUP(49,'Predictions &amp; Results'!$D$12:$Z$115,6,FALSE())</f>
        <v>🇨🇭 Switzerland</v>
      </c>
      <c r="J60" s="84" t="str">
        <f>VLOOKUP(49,'Predictions &amp; Results'!$D$12:$Z$115,7,FALSE())</f>
        <v>🇨🇦 Canada</v>
      </c>
      <c r="K60" s="105" t="str">
        <f>VLOOKUP(49,'Predictions &amp; Results'!$D$12:$Z$115,9,FALSE())</f>
        <v>Vancouver</v>
      </c>
      <c r="L60" s="105" t="s">
        <v>34</v>
      </c>
      <c r="M60" s="106" t="str">
        <f>VLOOKUP(49,'Predictions &amp; Results'!$D$12:$Z$115,19,FALSE())</f>
        <v>ITV</v>
      </c>
      <c r="N60" s="24" t="str">
        <f>VLOOKUP(49,'Predictions &amp; Results'!$D$12:$Z$115,18,FALSE())</f>
        <v/>
      </c>
      <c r="O60" s="195"/>
      <c r="P60" s="21"/>
      <c r="Q60" s="21"/>
      <c r="R60" s="21"/>
      <c r="S60" s="21"/>
      <c r="T60" s="21"/>
      <c r="U60" s="23"/>
      <c r="V60" s="23"/>
      <c r="W60" s="23"/>
      <c r="X60" s="23"/>
      <c r="Y60" s="23"/>
      <c r="Z60" s="23"/>
      <c r="AA60" s="23"/>
      <c r="AB60" s="23"/>
      <c r="AC60" s="23"/>
      <c r="AD60" s="23"/>
    </row>
    <row r="61" spans="2:30" ht="16.5" customHeight="1">
      <c r="B61" s="25"/>
      <c r="C61" s="192"/>
      <c r="D61" s="106">
        <v>50</v>
      </c>
      <c r="E61" s="83" t="str">
        <f>VLOOKUP(50,'Predictions &amp; Results'!$D$12:$Z$115,2,FALSE())</f>
        <v>24 Jun</v>
      </c>
      <c r="F61" s="83" t="str">
        <f>VLOOKUP(50,'Predictions &amp; Results'!$D$12:$Z$115,3,FALSE())</f>
        <v>Wed</v>
      </c>
      <c r="G61" s="83" t="str">
        <f>VLOOKUP(50,'Predictions &amp; Results'!$D$12:$Z$115,4,FALSE())</f>
        <v>20:00</v>
      </c>
      <c r="H61" s="106" t="s">
        <v>14</v>
      </c>
      <c r="I61" s="84" t="str">
        <f>VLOOKUP(50,'Predictions &amp; Results'!$D$12:$Z$115,6,FALSE())</f>
        <v>🇧🇦 Bosnia &amp; Herzegovina</v>
      </c>
      <c r="J61" s="84" t="str">
        <f>VLOOKUP(50,'Predictions &amp; Results'!$D$12:$Z$115,7,FALSE())</f>
        <v>🇶🇦 Qatar</v>
      </c>
      <c r="K61" s="105" t="str">
        <f>VLOOKUP(50,'Predictions &amp; Results'!$D$12:$Z$115,9,FALSE())</f>
        <v>Seattle</v>
      </c>
      <c r="L61" s="105" t="s">
        <v>56</v>
      </c>
      <c r="M61" s="106" t="str">
        <f>VLOOKUP(50,'Predictions &amp; Results'!$D$12:$Z$115,19,FALSE())</f>
        <v>ITV</v>
      </c>
      <c r="N61" s="24" t="str">
        <f>VLOOKUP(50,'Predictions &amp; Results'!$D$12:$Z$115,18,FALSE())</f>
        <v/>
      </c>
      <c r="O61" s="195"/>
      <c r="P61" s="21"/>
      <c r="Q61" s="21"/>
      <c r="R61" s="21"/>
      <c r="S61" s="21"/>
      <c r="T61" s="21"/>
      <c r="U61" s="23"/>
      <c r="V61" s="23"/>
      <c r="W61" s="23"/>
      <c r="X61" s="23"/>
      <c r="Y61" s="23"/>
      <c r="Z61" s="23"/>
      <c r="AA61" s="23"/>
      <c r="AB61" s="23"/>
      <c r="AC61" s="23"/>
      <c r="AD61" s="23"/>
    </row>
    <row r="62" spans="2:30" ht="16.5" customHeight="1">
      <c r="B62" s="25"/>
      <c r="C62" s="192"/>
      <c r="D62" s="106">
        <v>51</v>
      </c>
      <c r="E62" s="83" t="str">
        <f>VLOOKUP(51,'Predictions &amp; Results'!$D$12:$Z$115,2,FALSE())</f>
        <v>24 Jun</v>
      </c>
      <c r="F62" s="83" t="str">
        <f>VLOOKUP(51,'Predictions &amp; Results'!$D$12:$Z$115,3,FALSE())</f>
        <v>Wed</v>
      </c>
      <c r="G62" s="83" t="str">
        <f>VLOOKUP(51,'Predictions &amp; Results'!$D$12:$Z$115,4,FALSE())</f>
        <v>23:00</v>
      </c>
      <c r="H62" s="106" t="s">
        <v>25</v>
      </c>
      <c r="I62" s="84" t="str">
        <f>VLOOKUP(51,'Predictions &amp; Results'!$D$12:$Z$115,6,FALSE())</f>
        <v>🏴󠁧󠁢󠁳󠁣󠁴󠁿 Scotland</v>
      </c>
      <c r="J62" s="84" t="str">
        <f>VLOOKUP(51,'Predictions &amp; Results'!$D$12:$Z$115,7,FALSE())</f>
        <v>🇧🇷 Brazil</v>
      </c>
      <c r="K62" s="105" t="str">
        <f>VLOOKUP(51,'Predictions &amp; Results'!$D$12:$Z$115,9,FALSE())</f>
        <v>Miami Gardens</v>
      </c>
      <c r="L62" s="105" t="s">
        <v>59</v>
      </c>
      <c r="M62" s="106" t="str">
        <f>VLOOKUP(51,'Predictions &amp; Results'!$D$12:$Z$115,19,FALSE())</f>
        <v>BBC</v>
      </c>
      <c r="N62" s="24" t="str">
        <f>VLOOKUP(51,'Predictions &amp; Results'!$D$12:$Z$115,18,FALSE())</f>
        <v/>
      </c>
      <c r="O62" s="195"/>
      <c r="P62" s="21"/>
      <c r="Q62" s="21"/>
      <c r="R62" s="21"/>
      <c r="S62" s="21"/>
      <c r="T62" s="21"/>
      <c r="U62" s="23"/>
      <c r="V62" s="23"/>
      <c r="W62" s="23"/>
      <c r="X62" s="23"/>
      <c r="Y62" s="23"/>
      <c r="Z62" s="23"/>
      <c r="AA62" s="23"/>
      <c r="AB62" s="23"/>
      <c r="AC62" s="23"/>
      <c r="AD62" s="23"/>
    </row>
    <row r="63" spans="2:30" ht="16.5" customHeight="1">
      <c r="B63" s="25"/>
      <c r="C63" s="192"/>
      <c r="D63" s="106">
        <v>52</v>
      </c>
      <c r="E63" s="83" t="str">
        <f>VLOOKUP(52,'Predictions &amp; Results'!$D$12:$Z$115,2,FALSE())</f>
        <v>24 Jun</v>
      </c>
      <c r="F63" s="83" t="str">
        <f>VLOOKUP(52,'Predictions &amp; Results'!$D$12:$Z$115,3,FALSE())</f>
        <v>Wed</v>
      </c>
      <c r="G63" s="83" t="str">
        <f>VLOOKUP(52,'Predictions &amp; Results'!$D$12:$Z$115,4,FALSE())</f>
        <v>23:00</v>
      </c>
      <c r="H63" s="106" t="s">
        <v>25</v>
      </c>
      <c r="I63" s="84" t="str">
        <f>VLOOKUP(52,'Predictions &amp; Results'!$D$12:$Z$115,6,FALSE())</f>
        <v>🇲🇦 Morocco</v>
      </c>
      <c r="J63" s="84" t="str">
        <f>VLOOKUP(52,'Predictions &amp; Results'!$D$12:$Z$115,7,FALSE())</f>
        <v>🇭🇹 Haiti</v>
      </c>
      <c r="K63" s="105" t="str">
        <f>VLOOKUP(52,'Predictions &amp; Results'!$D$12:$Z$115,9,FALSE())</f>
        <v>Atlanta</v>
      </c>
      <c r="L63" s="105" t="s">
        <v>52</v>
      </c>
      <c r="M63" s="106" t="str">
        <f>VLOOKUP(52,'Predictions &amp; Results'!$D$12:$Z$115,19,FALSE())</f>
        <v>BBC</v>
      </c>
      <c r="N63" s="24" t="str">
        <f>VLOOKUP(52,'Predictions &amp; Results'!$D$12:$Z$115,18,FALSE())</f>
        <v/>
      </c>
      <c r="O63" s="195"/>
      <c r="P63" s="21"/>
      <c r="Q63" s="21"/>
      <c r="R63" s="21"/>
      <c r="S63" s="21"/>
      <c r="T63" s="21"/>
      <c r="U63" s="23"/>
      <c r="V63" s="23"/>
      <c r="W63" s="23"/>
      <c r="X63" s="23"/>
      <c r="Y63" s="23"/>
      <c r="Z63" s="23"/>
      <c r="AA63" s="23"/>
      <c r="AB63" s="23"/>
      <c r="AC63" s="23"/>
      <c r="AD63" s="23"/>
    </row>
    <row r="64" spans="2:30" ht="16.5" customHeight="1">
      <c r="B64" s="25"/>
      <c r="C64" s="192"/>
      <c r="D64" s="106">
        <v>53</v>
      </c>
      <c r="E64" s="83" t="str">
        <f>VLOOKUP(53,'Predictions &amp; Results'!$D$12:$Z$115,2,FALSE())</f>
        <v>25 Jun</v>
      </c>
      <c r="F64" s="83" t="str">
        <f>VLOOKUP(53,'Predictions &amp; Results'!$D$12:$Z$115,3,FALSE())</f>
        <v>Thu</v>
      </c>
      <c r="G64" s="83" t="str">
        <f>VLOOKUP(53,'Predictions &amp; Results'!$D$12:$Z$115,4,FALSE())</f>
        <v>02:00</v>
      </c>
      <c r="H64" s="106" t="s">
        <v>7</v>
      </c>
      <c r="I64" s="84" t="str">
        <f>VLOOKUP(53,'Predictions &amp; Results'!$D$12:$Z$115,6,FALSE())</f>
        <v>🇨🇿 Czech Republic</v>
      </c>
      <c r="J64" s="84" t="str">
        <f>VLOOKUP(53,'Predictions &amp; Results'!$D$12:$Z$115,7,FALSE())</f>
        <v>🇲🇽 Mexico</v>
      </c>
      <c r="K64" s="105" t="str">
        <f>VLOOKUP(53,'Predictions &amp; Results'!$D$12:$Z$115,9,FALSE())</f>
        <v>Mexico City</v>
      </c>
      <c r="L64" s="105" t="s">
        <v>10</v>
      </c>
      <c r="M64" s="106" t="str">
        <f>VLOOKUP(53,'Predictions &amp; Results'!$D$12:$Z$115,19,FALSE())</f>
        <v>BBC</v>
      </c>
      <c r="N64" s="24" t="str">
        <f>VLOOKUP(53,'Predictions &amp; Results'!$D$12:$Z$115,18,FALSE())</f>
        <v/>
      </c>
      <c r="O64" s="195"/>
      <c r="P64" s="21"/>
      <c r="Q64" s="21"/>
      <c r="R64" s="21"/>
      <c r="S64" s="21"/>
      <c r="T64" s="21"/>
      <c r="U64" s="23"/>
      <c r="V64" s="23"/>
      <c r="W64" s="23"/>
      <c r="X64" s="23"/>
      <c r="Y64" s="23"/>
      <c r="Z64" s="23"/>
      <c r="AA64" s="23"/>
      <c r="AB64" s="23"/>
      <c r="AC64" s="23"/>
      <c r="AD64" s="23"/>
    </row>
    <row r="65" spans="2:30" ht="16.5" customHeight="1">
      <c r="B65" s="25"/>
      <c r="C65" s="192"/>
      <c r="D65" s="106">
        <v>54</v>
      </c>
      <c r="E65" s="83" t="str">
        <f>VLOOKUP(54,'Predictions &amp; Results'!$D$12:$Z$115,2,FALSE())</f>
        <v>25 Jun</v>
      </c>
      <c r="F65" s="83" t="str">
        <f>VLOOKUP(54,'Predictions &amp; Results'!$D$12:$Z$115,3,FALSE())</f>
        <v>Thu</v>
      </c>
      <c r="G65" s="83" t="str">
        <f>VLOOKUP(54,'Predictions &amp; Results'!$D$12:$Z$115,4,FALSE())</f>
        <v>02:00</v>
      </c>
      <c r="H65" s="106" t="s">
        <v>7</v>
      </c>
      <c r="I65" s="84" t="str">
        <f>VLOOKUP(54,'Predictions &amp; Results'!$D$12:$Z$115,6,FALSE())</f>
        <v>🇿🇦 South Africa</v>
      </c>
      <c r="J65" s="84" t="str">
        <f>VLOOKUP(54,'Predictions &amp; Results'!$D$12:$Z$115,7,FALSE())</f>
        <v>🇰🇷 South Korea</v>
      </c>
      <c r="K65" s="105" t="str">
        <f>VLOOKUP(54,'Predictions &amp; Results'!$D$12:$Z$115,9,FALSE())</f>
        <v>Monterrey</v>
      </c>
      <c r="L65" s="105" t="s">
        <v>48</v>
      </c>
      <c r="M65" s="106" t="str">
        <f>VLOOKUP(54,'Predictions &amp; Results'!$D$12:$Z$115,19,FALSE())</f>
        <v>BBC</v>
      </c>
      <c r="N65" s="24" t="str">
        <f>VLOOKUP(54,'Predictions &amp; Results'!$D$12:$Z$115,18,FALSE())</f>
        <v/>
      </c>
      <c r="O65" s="195"/>
      <c r="P65" s="21"/>
      <c r="Q65" s="21"/>
      <c r="R65" s="21"/>
      <c r="S65" s="21"/>
      <c r="T65" s="21"/>
      <c r="U65" s="23"/>
      <c r="V65" s="23"/>
      <c r="W65" s="23"/>
      <c r="X65" s="23"/>
      <c r="Y65" s="23"/>
      <c r="Z65" s="23"/>
      <c r="AA65" s="23"/>
      <c r="AB65" s="23"/>
      <c r="AC65" s="23"/>
      <c r="AD65" s="23"/>
    </row>
    <row r="66" spans="2:30" ht="16.5" customHeight="1">
      <c r="B66" s="25"/>
      <c r="C66" s="192"/>
      <c r="D66" s="106">
        <v>55</v>
      </c>
      <c r="E66" s="83" t="str">
        <f>VLOOKUP(55,'Predictions &amp; Results'!$D$12:$Z$115,2,FALSE())</f>
        <v>25 Jun</v>
      </c>
      <c r="F66" s="83" t="str">
        <f>VLOOKUP(55,'Predictions &amp; Results'!$D$12:$Z$115,3,FALSE())</f>
        <v>Thu</v>
      </c>
      <c r="G66" s="83" t="str">
        <f>VLOOKUP(55,'Predictions &amp; Results'!$D$12:$Z$115,4,FALSE())</f>
        <v>21:00</v>
      </c>
      <c r="H66" s="106" t="s">
        <v>35</v>
      </c>
      <c r="I66" s="84" t="str">
        <f>VLOOKUP(55,'Predictions &amp; Results'!$D$12:$Z$115,6,FALSE())</f>
        <v>🇨🇼 Curaçao</v>
      </c>
      <c r="J66" s="84" t="str">
        <f>VLOOKUP(55,'Predictions &amp; Results'!$D$12:$Z$115,7,FALSE())</f>
        <v>🇨🇮 Ivory Coast</v>
      </c>
      <c r="K66" s="105" t="str">
        <f>VLOOKUP(55,'Predictions &amp; Results'!$D$12:$Z$115,9,FALSE())</f>
        <v>Philadelphia</v>
      </c>
      <c r="L66" s="105" t="s">
        <v>45</v>
      </c>
      <c r="M66" s="106" t="str">
        <f>VLOOKUP(55,'Predictions &amp; Results'!$D$12:$Z$115,19,FALSE())</f>
        <v>BBC</v>
      </c>
      <c r="N66" s="24" t="str">
        <f>VLOOKUP(55,'Predictions &amp; Results'!$D$12:$Z$115,18,FALSE())</f>
        <v/>
      </c>
      <c r="O66" s="195"/>
      <c r="P66" s="21"/>
      <c r="Q66" s="21"/>
      <c r="R66" s="21"/>
      <c r="S66" s="21"/>
      <c r="T66" s="21"/>
      <c r="U66" s="23"/>
      <c r="V66" s="23"/>
      <c r="W66" s="23"/>
      <c r="X66" s="23"/>
      <c r="Y66" s="23"/>
      <c r="Z66" s="23"/>
      <c r="AA66" s="23"/>
      <c r="AB66" s="23"/>
      <c r="AC66" s="23"/>
      <c r="AD66" s="23"/>
    </row>
    <row r="67" spans="2:30" ht="16.5" customHeight="1">
      <c r="B67" s="25"/>
      <c r="C67" s="192"/>
      <c r="D67" s="106">
        <v>56</v>
      </c>
      <c r="E67" s="83" t="str">
        <f>VLOOKUP(56,'Predictions &amp; Results'!$D$12:$Z$115,2,FALSE())</f>
        <v>25 Jun</v>
      </c>
      <c r="F67" s="83" t="str">
        <f>VLOOKUP(56,'Predictions &amp; Results'!$D$12:$Z$115,3,FALSE())</f>
        <v>Thu</v>
      </c>
      <c r="G67" s="83" t="str">
        <f>VLOOKUP(56,'Predictions &amp; Results'!$D$12:$Z$115,4,FALSE())</f>
        <v>21:00</v>
      </c>
      <c r="H67" s="106" t="s">
        <v>35</v>
      </c>
      <c r="I67" s="84" t="str">
        <f>VLOOKUP(56,'Predictions &amp; Results'!$D$12:$Z$115,6,FALSE())</f>
        <v>🇪🇨 Ecuador</v>
      </c>
      <c r="J67" s="84" t="str">
        <f>VLOOKUP(56,'Predictions &amp; Results'!$D$12:$Z$115,7,FALSE())</f>
        <v>🇩🇪 Germany</v>
      </c>
      <c r="K67" s="105" t="str">
        <f>VLOOKUP(56,'Predictions &amp; Results'!$D$12:$Z$115,9,FALSE())</f>
        <v>East Rutherford (NY/NJ)</v>
      </c>
      <c r="L67" s="105" t="s">
        <v>28</v>
      </c>
      <c r="M67" s="106" t="str">
        <f>VLOOKUP(56,'Predictions &amp; Results'!$D$12:$Z$115,19,FALSE())</f>
        <v>BBC</v>
      </c>
      <c r="N67" s="24" t="str">
        <f>VLOOKUP(56,'Predictions &amp; Results'!$D$12:$Z$115,18,FALSE())</f>
        <v/>
      </c>
      <c r="O67" s="195"/>
      <c r="P67" s="21"/>
      <c r="Q67" s="21"/>
      <c r="R67" s="21"/>
      <c r="S67" s="21"/>
      <c r="T67" s="21"/>
      <c r="U67" s="23"/>
      <c r="V67" s="23"/>
      <c r="W67" s="23"/>
      <c r="X67" s="23"/>
      <c r="Y67" s="23"/>
      <c r="Z67" s="23"/>
      <c r="AA67" s="23"/>
      <c r="AB67" s="23"/>
      <c r="AC67" s="23"/>
      <c r="AD67" s="23"/>
    </row>
    <row r="68" spans="2:30" ht="16.5" customHeight="1">
      <c r="B68" s="25"/>
      <c r="C68" s="192"/>
      <c r="D68" s="106">
        <v>57</v>
      </c>
      <c r="E68" s="83" t="str">
        <f>VLOOKUP(57,'Predictions &amp; Results'!$D$12:$Z$115,2,FALSE())</f>
        <v>26 Jun</v>
      </c>
      <c r="F68" s="83" t="str">
        <f>VLOOKUP(57,'Predictions &amp; Results'!$D$12:$Z$115,3,FALSE())</f>
        <v>Fri</v>
      </c>
      <c r="G68" s="83" t="str">
        <f>VLOOKUP(57,'Predictions &amp; Results'!$D$12:$Z$115,4,FALSE())</f>
        <v>00:00</v>
      </c>
      <c r="H68" s="106" t="s">
        <v>39</v>
      </c>
      <c r="I68" s="84" t="str">
        <f>VLOOKUP(57,'Predictions &amp; Results'!$D$12:$Z$115,6,FALSE())</f>
        <v>🇯🇵 Japan</v>
      </c>
      <c r="J68" s="84" t="str">
        <f>VLOOKUP(57,'Predictions &amp; Results'!$D$12:$Z$115,7,FALSE())</f>
        <v>🇸🇪 Sweden</v>
      </c>
      <c r="K68" s="105" t="str">
        <f>VLOOKUP(57,'Predictions &amp; Results'!$D$12:$Z$115,9,FALSE())</f>
        <v>Arlington (Dallas)</v>
      </c>
      <c r="L68" s="105" t="s">
        <v>42</v>
      </c>
      <c r="M68" s="106" t="str">
        <f>VLOOKUP(57,'Predictions &amp; Results'!$D$12:$Z$115,19,FALSE())</f>
        <v>BBC</v>
      </c>
      <c r="N68" s="24" t="str">
        <f>VLOOKUP(57,'Predictions &amp; Results'!$D$12:$Z$115,18,FALSE())</f>
        <v/>
      </c>
      <c r="O68" s="195"/>
      <c r="P68" s="21"/>
      <c r="Q68" s="21"/>
      <c r="R68" s="21"/>
      <c r="S68" s="21"/>
      <c r="T68" s="21"/>
      <c r="U68" s="23"/>
      <c r="V68" s="23"/>
      <c r="W68" s="23"/>
      <c r="X68" s="23"/>
      <c r="Y68" s="23"/>
      <c r="Z68" s="23"/>
      <c r="AA68" s="23"/>
      <c r="AB68" s="23"/>
      <c r="AC68" s="23"/>
      <c r="AD68" s="23"/>
    </row>
    <row r="69" spans="2:30" ht="16.5" customHeight="1">
      <c r="B69" s="25"/>
      <c r="C69" s="192"/>
      <c r="D69" s="106">
        <v>58</v>
      </c>
      <c r="E69" s="83" t="str">
        <f>VLOOKUP(58,'Predictions &amp; Results'!$D$12:$Z$115,2,FALSE())</f>
        <v>26 Jun</v>
      </c>
      <c r="F69" s="83" t="str">
        <f>VLOOKUP(58,'Predictions &amp; Results'!$D$12:$Z$115,3,FALSE())</f>
        <v>Fri</v>
      </c>
      <c r="G69" s="83" t="str">
        <f>VLOOKUP(58,'Predictions &amp; Results'!$D$12:$Z$115,4,FALSE())</f>
        <v>00:00</v>
      </c>
      <c r="H69" s="106" t="s">
        <v>39</v>
      </c>
      <c r="I69" s="84" t="str">
        <f>VLOOKUP(58,'Predictions &amp; Results'!$D$12:$Z$115,6,FALSE())</f>
        <v>🇹🇳 Tunisia</v>
      </c>
      <c r="J69" s="84" t="str">
        <f>VLOOKUP(58,'Predictions &amp; Results'!$D$12:$Z$115,7,FALSE())</f>
        <v>🇳🇱 Netherlands</v>
      </c>
      <c r="K69" s="105" t="str">
        <f>VLOOKUP(58,'Predictions &amp; Results'!$D$12:$Z$115,9,FALSE())</f>
        <v>Kansas City</v>
      </c>
      <c r="L69" s="105" t="s">
        <v>70</v>
      </c>
      <c r="M69" s="106" t="str">
        <f>VLOOKUP(58,'Predictions &amp; Results'!$D$12:$Z$115,19,FALSE())</f>
        <v>BBC</v>
      </c>
      <c r="N69" s="24" t="str">
        <f>VLOOKUP(58,'Predictions &amp; Results'!$D$12:$Z$115,18,FALSE())</f>
        <v/>
      </c>
      <c r="O69" s="195"/>
      <c r="P69" s="21"/>
      <c r="Q69" s="21"/>
      <c r="R69" s="21"/>
      <c r="S69" s="21"/>
      <c r="T69" s="21"/>
      <c r="U69" s="23"/>
      <c r="V69" s="23"/>
      <c r="W69" s="23"/>
      <c r="X69" s="23"/>
      <c r="Y69" s="23"/>
      <c r="Z69" s="23"/>
      <c r="AA69" s="23"/>
      <c r="AB69" s="23"/>
      <c r="AC69" s="23"/>
      <c r="AD69" s="23"/>
    </row>
    <row r="70" spans="2:30" ht="16.5" customHeight="1">
      <c r="B70" s="25"/>
      <c r="C70" s="192"/>
      <c r="D70" s="106">
        <v>59</v>
      </c>
      <c r="E70" s="83" t="str">
        <f>VLOOKUP(59,'Predictions &amp; Results'!$D$12:$Z$115,2,FALSE())</f>
        <v>26 Jun</v>
      </c>
      <c r="F70" s="83" t="str">
        <f>VLOOKUP(59,'Predictions &amp; Results'!$D$12:$Z$115,3,FALSE())</f>
        <v>Fri</v>
      </c>
      <c r="G70" s="83" t="str">
        <f>VLOOKUP(59,'Predictions &amp; Results'!$D$12:$Z$115,4,FALSE())</f>
        <v>03:00</v>
      </c>
      <c r="H70" s="106" t="s">
        <v>18</v>
      </c>
      <c r="I70" s="84" t="str">
        <f>VLOOKUP(59,'Predictions &amp; Results'!$D$12:$Z$115,6,FALSE())</f>
        <v>🇹🇷 Turkey</v>
      </c>
      <c r="J70" s="84" t="str">
        <f>VLOOKUP(59,'Predictions &amp; Results'!$D$12:$Z$115,7,FALSE())</f>
        <v>🇺🇸 USA</v>
      </c>
      <c r="K70" s="105" t="str">
        <f>VLOOKUP(59,'Predictions &amp; Results'!$D$12:$Z$115,9,FALSE())</f>
        <v>Inglewood (Los Angeles)</v>
      </c>
      <c r="L70" s="105" t="s">
        <v>21</v>
      </c>
      <c r="M70" s="106" t="str">
        <f>VLOOKUP(59,'Predictions &amp; Results'!$D$12:$Z$115,19,FALSE())</f>
        <v>ITV</v>
      </c>
      <c r="N70" s="24" t="str">
        <f>VLOOKUP(59,'Predictions &amp; Results'!$D$12:$Z$115,18,FALSE())</f>
        <v/>
      </c>
      <c r="O70" s="195"/>
      <c r="P70" s="21"/>
      <c r="Q70" s="21"/>
      <c r="R70" s="21"/>
      <c r="S70" s="21"/>
      <c r="T70" s="21"/>
      <c r="U70" s="23"/>
      <c r="V70" s="23"/>
      <c r="W70" s="23"/>
      <c r="X70" s="23"/>
      <c r="Y70" s="23"/>
      <c r="Z70" s="23"/>
      <c r="AA70" s="23"/>
      <c r="AB70" s="23"/>
      <c r="AC70" s="23"/>
      <c r="AD70" s="23"/>
    </row>
    <row r="71" spans="2:30" ht="16.5" customHeight="1">
      <c r="B71" s="25"/>
      <c r="C71" s="192"/>
      <c r="D71" s="106">
        <v>60</v>
      </c>
      <c r="E71" s="83" t="str">
        <f>VLOOKUP(60,'Predictions &amp; Results'!$D$12:$Z$115,2,FALSE())</f>
        <v>26 Jun</v>
      </c>
      <c r="F71" s="83" t="str">
        <f>VLOOKUP(60,'Predictions &amp; Results'!$D$12:$Z$115,3,FALSE())</f>
        <v>Fri</v>
      </c>
      <c r="G71" s="83" t="str">
        <f>VLOOKUP(60,'Predictions &amp; Results'!$D$12:$Z$115,4,FALSE())</f>
        <v>03:00</v>
      </c>
      <c r="H71" s="106" t="s">
        <v>18</v>
      </c>
      <c r="I71" s="84" t="str">
        <f>VLOOKUP(60,'Predictions &amp; Results'!$D$12:$Z$115,6,FALSE())</f>
        <v>🇵🇾 Paraguay</v>
      </c>
      <c r="J71" s="84" t="str">
        <f>VLOOKUP(60,'Predictions &amp; Results'!$D$12:$Z$115,7,FALSE())</f>
        <v>🇦🇺 Australia</v>
      </c>
      <c r="K71" s="105" t="str">
        <f>VLOOKUP(60,'Predictions &amp; Results'!$D$12:$Z$115,9,FALSE())</f>
        <v>Santa Clara (SF Bay Area)</v>
      </c>
      <c r="L71" s="105" t="s">
        <v>24</v>
      </c>
      <c r="M71" s="106" t="str">
        <f>VLOOKUP(60,'Predictions &amp; Results'!$D$12:$Z$115,19,FALSE())</f>
        <v>ITV</v>
      </c>
      <c r="N71" s="24" t="str">
        <f>VLOOKUP(60,'Predictions &amp; Results'!$D$12:$Z$115,18,FALSE())</f>
        <v/>
      </c>
      <c r="O71" s="195"/>
      <c r="P71" s="21"/>
      <c r="Q71" s="21"/>
      <c r="R71" s="21"/>
      <c r="S71" s="21"/>
      <c r="T71" s="21"/>
      <c r="U71" s="23"/>
      <c r="V71" s="23"/>
      <c r="W71" s="23"/>
      <c r="X71" s="23"/>
      <c r="Y71" s="23"/>
      <c r="Z71" s="23"/>
      <c r="AA71" s="23"/>
      <c r="AB71" s="23"/>
      <c r="AC71" s="23"/>
      <c r="AD71" s="23"/>
    </row>
    <row r="72" spans="2:30" ht="16.5" customHeight="1">
      <c r="B72" s="25"/>
      <c r="C72" s="192"/>
      <c r="D72" s="106">
        <v>61</v>
      </c>
      <c r="E72" s="83" t="str">
        <f>VLOOKUP(61,'Predictions &amp; Results'!$D$12:$Z$115,2,FALSE())</f>
        <v>26 Jun</v>
      </c>
      <c r="F72" s="83" t="str">
        <f>VLOOKUP(61,'Predictions &amp; Results'!$D$12:$Z$115,3,FALSE())</f>
        <v>Fri</v>
      </c>
      <c r="G72" s="83" t="str">
        <f>VLOOKUP(61,'Predictions &amp; Results'!$D$12:$Z$115,4,FALSE())</f>
        <v>20:00</v>
      </c>
      <c r="H72" s="106" t="s">
        <v>62</v>
      </c>
      <c r="I72" s="84" t="str">
        <f>VLOOKUP(61,'Predictions &amp; Results'!$D$12:$Z$115,6,FALSE())</f>
        <v>🇳🇴 Norway</v>
      </c>
      <c r="J72" s="84" t="str">
        <f>VLOOKUP(61,'Predictions &amp; Results'!$D$12:$Z$115,7,FALSE())</f>
        <v>🇫🇷 France</v>
      </c>
      <c r="K72" s="105" t="str">
        <f>VLOOKUP(61,'Predictions &amp; Results'!$D$12:$Z$115,9,FALSE())</f>
        <v>Foxborough (Boston)</v>
      </c>
      <c r="L72" s="105" t="s">
        <v>31</v>
      </c>
      <c r="M72" s="106" t="str">
        <f>VLOOKUP(61,'Predictions &amp; Results'!$D$12:$Z$115,19,FALSE())</f>
        <v>ITV</v>
      </c>
      <c r="N72" s="24" t="str">
        <f>VLOOKUP(61,'Predictions &amp; Results'!$D$12:$Z$115,18,FALSE())</f>
        <v/>
      </c>
      <c r="O72" s="195"/>
      <c r="P72" s="21"/>
      <c r="Q72" s="21"/>
      <c r="R72" s="21"/>
      <c r="S72" s="21"/>
      <c r="T72" s="21"/>
      <c r="U72" s="23"/>
      <c r="V72" s="23"/>
      <c r="W72" s="23"/>
      <c r="X72" s="23"/>
      <c r="Y72" s="23"/>
      <c r="Z72" s="23"/>
      <c r="AA72" s="23"/>
      <c r="AB72" s="23"/>
      <c r="AC72" s="23"/>
      <c r="AD72" s="23"/>
    </row>
    <row r="73" spans="2:30" ht="16.5" customHeight="1">
      <c r="B73" s="25"/>
      <c r="C73" s="192"/>
      <c r="D73" s="106">
        <v>62</v>
      </c>
      <c r="E73" s="83" t="str">
        <f>VLOOKUP(62,'Predictions &amp; Results'!$D$12:$Z$115,2,FALSE())</f>
        <v>26 Jun</v>
      </c>
      <c r="F73" s="83" t="str">
        <f>VLOOKUP(62,'Predictions &amp; Results'!$D$12:$Z$115,3,FALSE())</f>
        <v>Fri</v>
      </c>
      <c r="G73" s="83" t="str">
        <f>VLOOKUP(62,'Predictions &amp; Results'!$D$12:$Z$115,4,FALSE())</f>
        <v>20:00</v>
      </c>
      <c r="H73" s="106" t="s">
        <v>62</v>
      </c>
      <c r="I73" s="84" t="str">
        <f>VLOOKUP(62,'Predictions &amp; Results'!$D$12:$Z$115,6,FALSE())</f>
        <v>🇸🇳 Senegal</v>
      </c>
      <c r="J73" s="84" t="str">
        <f>VLOOKUP(62,'Predictions &amp; Results'!$D$12:$Z$115,7,FALSE())</f>
        <v>🇮🇶 Iraq</v>
      </c>
      <c r="K73" s="105" t="str">
        <f>VLOOKUP(62,'Predictions &amp; Results'!$D$12:$Z$115,9,FALSE())</f>
        <v>Toronto</v>
      </c>
      <c r="L73" s="105" t="s">
        <v>17</v>
      </c>
      <c r="M73" s="106" t="str">
        <f>VLOOKUP(62,'Predictions &amp; Results'!$D$12:$Z$115,19,FALSE())</f>
        <v>ITV</v>
      </c>
      <c r="N73" s="24" t="str">
        <f>VLOOKUP(62,'Predictions &amp; Results'!$D$12:$Z$115,18,FALSE())</f>
        <v/>
      </c>
      <c r="O73" s="195"/>
      <c r="P73" s="21"/>
      <c r="Q73" s="21"/>
      <c r="R73" s="21"/>
      <c r="S73" s="21"/>
      <c r="T73" s="21"/>
      <c r="U73" s="23"/>
      <c r="V73" s="23"/>
      <c r="W73" s="23"/>
      <c r="X73" s="23"/>
      <c r="Y73" s="23"/>
      <c r="Z73" s="23"/>
      <c r="AA73" s="23"/>
      <c r="AB73" s="23"/>
      <c r="AC73" s="23"/>
      <c r="AD73" s="23"/>
    </row>
    <row r="74" spans="2:30" ht="16.5" customHeight="1">
      <c r="B74" s="25"/>
      <c r="C74" s="192"/>
      <c r="D74" s="106">
        <v>63</v>
      </c>
      <c r="E74" s="83" t="str">
        <f>VLOOKUP(63,'Predictions &amp; Results'!$D$12:$Z$115,2,FALSE())</f>
        <v>27 Jun</v>
      </c>
      <c r="F74" s="83" t="str">
        <f>VLOOKUP(63,'Predictions &amp; Results'!$D$12:$Z$115,3,FALSE())</f>
        <v>Sat</v>
      </c>
      <c r="G74" s="83" t="str">
        <f>VLOOKUP(63,'Predictions &amp; Results'!$D$12:$Z$115,4,FALSE())</f>
        <v>01:00</v>
      </c>
      <c r="H74" s="106" t="s">
        <v>49</v>
      </c>
      <c r="I74" s="84" t="str">
        <f>VLOOKUP(63,'Predictions &amp; Results'!$D$12:$Z$115,6,FALSE())</f>
        <v>🇨🇻 Cape Verde</v>
      </c>
      <c r="J74" s="84" t="str">
        <f>VLOOKUP(63,'Predictions &amp; Results'!$D$12:$Z$115,7,FALSE())</f>
        <v>🇸🇦 Saudi Arabia</v>
      </c>
      <c r="K74" s="105" t="str">
        <f>VLOOKUP(63,'Predictions &amp; Results'!$D$12:$Z$115,9,FALSE())</f>
        <v>Houston</v>
      </c>
      <c r="L74" s="105" t="s">
        <v>38</v>
      </c>
      <c r="M74" s="106" t="str">
        <f>VLOOKUP(63,'Predictions &amp; Results'!$D$12:$Z$115,19,FALSE())</f>
        <v>ITV</v>
      </c>
      <c r="N74" s="24" t="str">
        <f>VLOOKUP(63,'Predictions &amp; Results'!$D$12:$Z$115,18,FALSE())</f>
        <v/>
      </c>
      <c r="O74" s="195"/>
      <c r="P74" s="21"/>
      <c r="Q74" s="21"/>
      <c r="R74" s="21"/>
      <c r="S74" s="21"/>
      <c r="T74" s="21"/>
      <c r="U74" s="23"/>
      <c r="V74" s="23"/>
      <c r="W74" s="23"/>
      <c r="X74" s="23"/>
      <c r="Y74" s="23"/>
      <c r="Z74" s="23"/>
      <c r="AA74" s="23"/>
      <c r="AB74" s="23"/>
      <c r="AC74" s="23"/>
      <c r="AD74" s="23"/>
    </row>
    <row r="75" spans="2:30" ht="16.5" customHeight="1">
      <c r="B75" s="25"/>
      <c r="C75" s="192"/>
      <c r="D75" s="106">
        <v>64</v>
      </c>
      <c r="E75" s="83" t="str">
        <f>VLOOKUP(64,'Predictions &amp; Results'!$D$12:$Z$115,2,FALSE())</f>
        <v>27 Jun</v>
      </c>
      <c r="F75" s="83" t="str">
        <f>VLOOKUP(64,'Predictions &amp; Results'!$D$12:$Z$115,3,FALSE())</f>
        <v>Sat</v>
      </c>
      <c r="G75" s="83" t="str">
        <f>VLOOKUP(64,'Predictions &amp; Results'!$D$12:$Z$115,4,FALSE())</f>
        <v>01:00</v>
      </c>
      <c r="H75" s="106" t="s">
        <v>49</v>
      </c>
      <c r="I75" s="84" t="str">
        <f>VLOOKUP(64,'Predictions &amp; Results'!$D$12:$Z$115,6,FALSE())</f>
        <v>🇺🇾 Uruguay</v>
      </c>
      <c r="J75" s="84" t="str">
        <f>VLOOKUP(64,'Predictions &amp; Results'!$D$12:$Z$115,7,FALSE())</f>
        <v>🇪🇸 Spain</v>
      </c>
      <c r="K75" s="105" t="str">
        <f>VLOOKUP(64,'Predictions &amp; Results'!$D$12:$Z$115,9,FALSE())</f>
        <v>Zapopan (Guadalajara)</v>
      </c>
      <c r="L75" s="105" t="s">
        <v>13</v>
      </c>
      <c r="M75" s="106" t="str">
        <f>VLOOKUP(64,'Predictions &amp; Results'!$D$12:$Z$115,19,FALSE())</f>
        <v>ITV</v>
      </c>
      <c r="N75" s="24" t="str">
        <f>VLOOKUP(64,'Predictions &amp; Results'!$D$12:$Z$115,18,FALSE())</f>
        <v/>
      </c>
      <c r="O75" s="195"/>
      <c r="P75" s="21"/>
      <c r="Q75" s="21"/>
      <c r="R75" s="21"/>
      <c r="S75" s="21"/>
      <c r="T75" s="21"/>
      <c r="U75" s="23"/>
      <c r="V75" s="23"/>
      <c r="W75" s="23"/>
      <c r="X75" s="23"/>
      <c r="Y75" s="23"/>
      <c r="Z75" s="23"/>
      <c r="AA75" s="23"/>
      <c r="AB75" s="23"/>
      <c r="AC75" s="23"/>
      <c r="AD75" s="23"/>
    </row>
    <row r="76" spans="2:30" ht="16.5" customHeight="1">
      <c r="B76" s="25"/>
      <c r="C76" s="192"/>
      <c r="D76" s="106">
        <v>65</v>
      </c>
      <c r="E76" s="83" t="str">
        <f>VLOOKUP(65,'Predictions &amp; Results'!$D$12:$Z$115,2,FALSE())</f>
        <v>27 Jun</v>
      </c>
      <c r="F76" s="83" t="str">
        <f>VLOOKUP(65,'Predictions &amp; Results'!$D$12:$Z$115,3,FALSE())</f>
        <v>Sat</v>
      </c>
      <c r="G76" s="83" t="str">
        <f>VLOOKUP(65,'Predictions &amp; Results'!$D$12:$Z$115,4,FALSE())</f>
        <v>04:00</v>
      </c>
      <c r="H76" s="106" t="s">
        <v>53</v>
      </c>
      <c r="I76" s="84" t="str">
        <f>VLOOKUP(65,'Predictions &amp; Results'!$D$12:$Z$115,6,FALSE())</f>
        <v>🇪🇬 Egypt</v>
      </c>
      <c r="J76" s="84" t="str">
        <f>VLOOKUP(65,'Predictions &amp; Results'!$D$12:$Z$115,7,FALSE())</f>
        <v>🇮🇷 Iran</v>
      </c>
      <c r="K76" s="105" t="str">
        <f>VLOOKUP(65,'Predictions &amp; Results'!$D$12:$Z$115,9,FALSE())</f>
        <v>Seattle</v>
      </c>
      <c r="L76" s="105" t="s">
        <v>56</v>
      </c>
      <c r="M76" s="106" t="str">
        <f>VLOOKUP(65,'Predictions &amp; Results'!$D$12:$Z$115,19,FALSE())</f>
        <v>BBC</v>
      </c>
      <c r="N76" s="24" t="str">
        <f>VLOOKUP(65,'Predictions &amp; Results'!$D$12:$Z$115,18,FALSE())</f>
        <v/>
      </c>
      <c r="O76" s="195"/>
      <c r="P76" s="21"/>
      <c r="Q76" s="21"/>
      <c r="R76" s="21"/>
      <c r="S76" s="21"/>
      <c r="T76" s="21"/>
      <c r="U76" s="23"/>
      <c r="V76" s="23"/>
      <c r="W76" s="23"/>
      <c r="X76" s="23"/>
      <c r="Y76" s="23"/>
      <c r="Z76" s="23"/>
      <c r="AA76" s="23"/>
      <c r="AB76" s="23"/>
      <c r="AC76" s="23"/>
      <c r="AD76" s="23"/>
    </row>
    <row r="77" spans="2:30" ht="16.5" customHeight="1">
      <c r="B77" s="25"/>
      <c r="C77" s="192"/>
      <c r="D77" s="106">
        <v>66</v>
      </c>
      <c r="E77" s="83" t="str">
        <f>VLOOKUP(66,'Predictions &amp; Results'!$D$12:$Z$115,2,FALSE())</f>
        <v>27 Jun</v>
      </c>
      <c r="F77" s="83" t="str">
        <f>VLOOKUP(66,'Predictions &amp; Results'!$D$12:$Z$115,3,FALSE())</f>
        <v>Sat</v>
      </c>
      <c r="G77" s="83" t="str">
        <f>VLOOKUP(66,'Predictions &amp; Results'!$D$12:$Z$115,4,FALSE())</f>
        <v>04:00</v>
      </c>
      <c r="H77" s="106" t="s">
        <v>53</v>
      </c>
      <c r="I77" s="84" t="str">
        <f>VLOOKUP(66,'Predictions &amp; Results'!$D$12:$Z$115,6,FALSE())</f>
        <v>🇳🇿 New Zealand</v>
      </c>
      <c r="J77" s="84" t="str">
        <f>VLOOKUP(66,'Predictions &amp; Results'!$D$12:$Z$115,7,FALSE())</f>
        <v>🇧🇪 Belgium</v>
      </c>
      <c r="K77" s="105" t="str">
        <f>VLOOKUP(66,'Predictions &amp; Results'!$D$12:$Z$115,9,FALSE())</f>
        <v>Vancouver</v>
      </c>
      <c r="L77" s="105" t="s">
        <v>34</v>
      </c>
      <c r="M77" s="106" t="str">
        <f>VLOOKUP(66,'Predictions &amp; Results'!$D$12:$Z$115,19,FALSE())</f>
        <v>BBC</v>
      </c>
      <c r="N77" s="24" t="str">
        <f>VLOOKUP(66,'Predictions &amp; Results'!$D$12:$Z$115,18,FALSE())</f>
        <v/>
      </c>
      <c r="O77" s="195"/>
      <c r="P77" s="21"/>
      <c r="Q77" s="21"/>
      <c r="R77" s="21"/>
      <c r="S77" s="21"/>
      <c r="T77" s="21"/>
      <c r="U77" s="23"/>
      <c r="V77" s="23"/>
      <c r="W77" s="23"/>
      <c r="X77" s="23"/>
      <c r="Y77" s="23"/>
      <c r="Z77" s="23"/>
      <c r="AA77" s="23"/>
      <c r="AB77" s="23"/>
      <c r="AC77" s="23"/>
      <c r="AD77" s="23"/>
    </row>
    <row r="78" spans="2:30" ht="16.5" customHeight="1">
      <c r="B78" s="25"/>
      <c r="C78" s="192"/>
      <c r="D78" s="106">
        <v>67</v>
      </c>
      <c r="E78" s="83" t="str">
        <f>VLOOKUP(67,'Predictions &amp; Results'!$D$12:$Z$115,2,FALSE())</f>
        <v>27 Jun</v>
      </c>
      <c r="F78" s="83" t="str">
        <f>VLOOKUP(67,'Predictions &amp; Results'!$D$12:$Z$115,3,FALSE())</f>
        <v>Sat</v>
      </c>
      <c r="G78" s="83" t="str">
        <f>VLOOKUP(67,'Predictions &amp; Results'!$D$12:$Z$115,4,FALSE())</f>
        <v>22:00</v>
      </c>
      <c r="H78" s="106" t="s">
        <v>76</v>
      </c>
      <c r="I78" s="84" t="str">
        <f>VLOOKUP(67,'Predictions &amp; Results'!$D$12:$Z$115,6,FALSE())</f>
        <v>🇵🇦 Panama</v>
      </c>
      <c r="J78" s="84" t="str">
        <f>VLOOKUP(67,'Predictions &amp; Results'!$D$12:$Z$115,7,FALSE())</f>
        <v>🏴󠁧󠁢󠁥󠁮󠁧󠁿 England</v>
      </c>
      <c r="K78" s="105" t="str">
        <f>VLOOKUP(67,'Predictions &amp; Results'!$D$12:$Z$115,9,FALSE())</f>
        <v>East Rutherford (NY/NJ)</v>
      </c>
      <c r="L78" s="105" t="s">
        <v>28</v>
      </c>
      <c r="M78" s="106" t="str">
        <f>VLOOKUP(67,'Predictions &amp; Results'!$D$12:$Z$115,19,FALSE())</f>
        <v>ITV</v>
      </c>
      <c r="N78" s="24" t="str">
        <f>VLOOKUP(67,'Predictions &amp; Results'!$D$12:$Z$115,18,FALSE())</f>
        <v/>
      </c>
      <c r="O78" s="195"/>
      <c r="P78" s="21"/>
      <c r="Q78" s="21"/>
      <c r="R78" s="21"/>
      <c r="S78" s="21"/>
      <c r="T78" s="21"/>
      <c r="U78" s="23"/>
      <c r="V78" s="23"/>
      <c r="W78" s="23"/>
      <c r="X78" s="23"/>
      <c r="Y78" s="23"/>
      <c r="Z78" s="23"/>
      <c r="AA78" s="23"/>
      <c r="AB78" s="23"/>
      <c r="AC78" s="23"/>
      <c r="AD78" s="23"/>
    </row>
    <row r="79" spans="2:30" ht="16.5" customHeight="1">
      <c r="B79" s="25"/>
      <c r="C79" s="192"/>
      <c r="D79" s="106">
        <v>68</v>
      </c>
      <c r="E79" s="83" t="str">
        <f>VLOOKUP(68,'Predictions &amp; Results'!$D$12:$Z$115,2,FALSE())</f>
        <v>27 Jun</v>
      </c>
      <c r="F79" s="83" t="str">
        <f>VLOOKUP(68,'Predictions &amp; Results'!$D$12:$Z$115,3,FALSE())</f>
        <v>Sat</v>
      </c>
      <c r="G79" s="83" t="str">
        <f>VLOOKUP(68,'Predictions &amp; Results'!$D$12:$Z$115,4,FALSE())</f>
        <v>22:00</v>
      </c>
      <c r="H79" s="106" t="s">
        <v>76</v>
      </c>
      <c r="I79" s="84" t="str">
        <f>VLOOKUP(68,'Predictions &amp; Results'!$D$12:$Z$115,6,FALSE())</f>
        <v>🇭🇷 Croatia</v>
      </c>
      <c r="J79" s="84" t="str">
        <f>VLOOKUP(68,'Predictions &amp; Results'!$D$12:$Z$115,7,FALSE())</f>
        <v>🇬🇭 Ghana</v>
      </c>
      <c r="K79" s="105" t="str">
        <f>VLOOKUP(68,'Predictions &amp; Results'!$D$12:$Z$115,9,FALSE())</f>
        <v>Philadelphia</v>
      </c>
      <c r="L79" s="105" t="s">
        <v>45</v>
      </c>
      <c r="M79" s="106" t="str">
        <f>VLOOKUP(68,'Predictions &amp; Results'!$D$12:$Z$115,19,FALSE())</f>
        <v>ITV</v>
      </c>
      <c r="N79" s="24" t="str">
        <f>VLOOKUP(68,'Predictions &amp; Results'!$D$12:$Z$115,18,FALSE())</f>
        <v/>
      </c>
      <c r="O79" s="195"/>
      <c r="P79" s="21"/>
      <c r="Q79" s="21"/>
      <c r="R79" s="21"/>
      <c r="S79" s="21"/>
      <c r="T79" s="21"/>
      <c r="U79" s="23"/>
      <c r="V79" s="23"/>
      <c r="W79" s="23"/>
      <c r="X79" s="23"/>
      <c r="Y79" s="23"/>
      <c r="Z79" s="23"/>
      <c r="AA79" s="23"/>
      <c r="AB79" s="23"/>
      <c r="AC79" s="23"/>
      <c r="AD79" s="23"/>
    </row>
    <row r="80" spans="2:30" ht="16.5" customHeight="1">
      <c r="B80" s="25"/>
      <c r="C80" s="192"/>
      <c r="D80" s="106">
        <v>69</v>
      </c>
      <c r="E80" s="83" t="str">
        <f>VLOOKUP(69,'Predictions &amp; Results'!$D$12:$Z$115,2,FALSE())</f>
        <v>28 Jun</v>
      </c>
      <c r="F80" s="83" t="str">
        <f>VLOOKUP(69,'Predictions &amp; Results'!$D$12:$Z$115,3,FALSE())</f>
        <v>Sun</v>
      </c>
      <c r="G80" s="83" t="str">
        <f>VLOOKUP(69,'Predictions &amp; Results'!$D$12:$Z$115,4,FALSE())</f>
        <v>00:30</v>
      </c>
      <c r="H80" s="106" t="s">
        <v>73</v>
      </c>
      <c r="I80" s="84" t="str">
        <f>VLOOKUP(69,'Predictions &amp; Results'!$D$12:$Z$115,6,FALSE())</f>
        <v>🇨🇴 Colombia</v>
      </c>
      <c r="J80" s="84" t="str">
        <f>VLOOKUP(69,'Predictions &amp; Results'!$D$12:$Z$115,7,FALSE())</f>
        <v>🇵🇹 Portugal</v>
      </c>
      <c r="K80" s="105" t="str">
        <f>VLOOKUP(69,'Predictions &amp; Results'!$D$12:$Z$115,9,FALSE())</f>
        <v>Miami Gardens</v>
      </c>
      <c r="L80" s="105" t="s">
        <v>59</v>
      </c>
      <c r="M80" s="106" t="str">
        <f>VLOOKUP(69,'Predictions &amp; Results'!$D$12:$Z$115,19,FALSE())</f>
        <v>BBC</v>
      </c>
      <c r="N80" s="24" t="str">
        <f>VLOOKUP(69,'Predictions &amp; Results'!$D$12:$Z$115,18,FALSE())</f>
        <v/>
      </c>
      <c r="O80" s="195"/>
      <c r="P80" s="21"/>
      <c r="Q80" s="21"/>
      <c r="R80" s="21"/>
      <c r="S80" s="21"/>
      <c r="T80" s="21"/>
      <c r="U80" s="23"/>
      <c r="V80" s="23"/>
      <c r="W80" s="23"/>
      <c r="X80" s="23"/>
      <c r="Y80" s="23"/>
      <c r="Z80" s="23"/>
      <c r="AA80" s="23"/>
      <c r="AB80" s="23"/>
      <c r="AC80" s="23"/>
      <c r="AD80" s="23"/>
    </row>
    <row r="81" spans="2:30" ht="16.5" customHeight="1">
      <c r="B81" s="25"/>
      <c r="C81" s="192"/>
      <c r="D81" s="106">
        <v>70</v>
      </c>
      <c r="E81" s="83" t="str">
        <f>VLOOKUP(70,'Predictions &amp; Results'!$D$12:$Z$115,2,FALSE())</f>
        <v>28 Jun</v>
      </c>
      <c r="F81" s="83" t="str">
        <f>VLOOKUP(70,'Predictions &amp; Results'!$D$12:$Z$115,3,FALSE())</f>
        <v>Sun</v>
      </c>
      <c r="G81" s="83" t="str">
        <f>VLOOKUP(70,'Predictions &amp; Results'!$D$12:$Z$115,4,FALSE())</f>
        <v>00:30</v>
      </c>
      <c r="H81" s="106" t="s">
        <v>73</v>
      </c>
      <c r="I81" s="84" t="str">
        <f>VLOOKUP(70,'Predictions &amp; Results'!$D$12:$Z$115,6,FALSE())</f>
        <v>🇨🇩 DR Congo</v>
      </c>
      <c r="J81" s="84" t="str">
        <f>VLOOKUP(70,'Predictions &amp; Results'!$D$12:$Z$115,7,FALSE())</f>
        <v>🇺🇿 Uzbekistan</v>
      </c>
      <c r="K81" s="105" t="str">
        <f>VLOOKUP(70,'Predictions &amp; Results'!$D$12:$Z$115,9,FALSE())</f>
        <v>Atlanta</v>
      </c>
      <c r="L81" s="105" t="s">
        <v>52</v>
      </c>
      <c r="M81" s="106" t="str">
        <f>VLOOKUP(70,'Predictions &amp; Results'!$D$12:$Z$115,19,FALSE())</f>
        <v>BBC</v>
      </c>
      <c r="N81" s="24" t="str">
        <f>VLOOKUP(70,'Predictions &amp; Results'!$D$12:$Z$115,18,FALSE())</f>
        <v/>
      </c>
      <c r="O81" s="195"/>
      <c r="P81" s="21"/>
      <c r="Q81" s="21"/>
      <c r="R81" s="21"/>
      <c r="S81" s="21"/>
      <c r="T81" s="21"/>
      <c r="U81" s="23"/>
      <c r="V81" s="23"/>
      <c r="W81" s="23"/>
      <c r="X81" s="23"/>
      <c r="Y81" s="23"/>
      <c r="Z81" s="23"/>
      <c r="AA81" s="23"/>
      <c r="AB81" s="23"/>
      <c r="AC81" s="23"/>
      <c r="AD81" s="23"/>
    </row>
    <row r="82" spans="2:30" ht="16.5" customHeight="1">
      <c r="B82" s="25"/>
      <c r="C82" s="192"/>
      <c r="D82" s="106">
        <v>71</v>
      </c>
      <c r="E82" s="83" t="str">
        <f>VLOOKUP(71,'Predictions &amp; Results'!$D$12:$Z$115,2,FALSE())</f>
        <v>28 Jun</v>
      </c>
      <c r="F82" s="83" t="str">
        <f>VLOOKUP(71,'Predictions &amp; Results'!$D$12:$Z$115,3,FALSE())</f>
        <v>Sun</v>
      </c>
      <c r="G82" s="83" t="str">
        <f>VLOOKUP(71,'Predictions &amp; Results'!$D$12:$Z$115,4,FALSE())</f>
        <v>03:00</v>
      </c>
      <c r="H82" s="106" t="s">
        <v>67</v>
      </c>
      <c r="I82" s="84" t="str">
        <f>VLOOKUP(71,'Predictions &amp; Results'!$D$12:$Z$115,6,FALSE())</f>
        <v>🇩🇿 Algeria</v>
      </c>
      <c r="J82" s="84" t="str">
        <f>VLOOKUP(71,'Predictions &amp; Results'!$D$12:$Z$115,7,FALSE())</f>
        <v>🇦🇹 Austria</v>
      </c>
      <c r="K82" s="105" t="str">
        <f>VLOOKUP(71,'Predictions &amp; Results'!$D$12:$Z$115,9,FALSE())</f>
        <v>Kansas City</v>
      </c>
      <c r="L82" s="105" t="s">
        <v>70</v>
      </c>
      <c r="M82" s="106" t="str">
        <f>VLOOKUP(71,'Predictions &amp; Results'!$D$12:$Z$115,19,FALSE())</f>
        <v>BBC</v>
      </c>
      <c r="N82" s="24" t="str">
        <f>VLOOKUP(71,'Predictions &amp; Results'!$D$12:$Z$115,18,FALSE())</f>
        <v/>
      </c>
      <c r="O82" s="195"/>
      <c r="P82" s="21"/>
      <c r="Q82" s="21"/>
      <c r="R82" s="21"/>
      <c r="S82" s="21"/>
      <c r="T82" s="21"/>
      <c r="U82" s="23"/>
      <c r="V82" s="23"/>
      <c r="W82" s="23"/>
      <c r="X82" s="23"/>
      <c r="Y82" s="23"/>
      <c r="Z82" s="23"/>
      <c r="AA82" s="23"/>
      <c r="AB82" s="23"/>
      <c r="AC82" s="23"/>
      <c r="AD82" s="23"/>
    </row>
    <row r="83" spans="2:30" ht="16.5" customHeight="1">
      <c r="B83" s="25"/>
      <c r="C83" s="192"/>
      <c r="D83" s="106">
        <v>72</v>
      </c>
      <c r="E83" s="83" t="str">
        <f>VLOOKUP(72,'Predictions &amp; Results'!$D$12:$Z$115,2,FALSE())</f>
        <v>28 Jun</v>
      </c>
      <c r="F83" s="83" t="str">
        <f>VLOOKUP(72,'Predictions &amp; Results'!$D$12:$Z$115,3,FALSE())</f>
        <v>Sun</v>
      </c>
      <c r="G83" s="83" t="str">
        <f>VLOOKUP(72,'Predictions &amp; Results'!$D$12:$Z$115,4,FALSE())</f>
        <v>03:00</v>
      </c>
      <c r="H83" s="106" t="s">
        <v>67</v>
      </c>
      <c r="I83" s="84" t="str">
        <f>VLOOKUP(72,'Predictions &amp; Results'!$D$12:$Z$115,6,FALSE())</f>
        <v>🇯🇴 Jordan</v>
      </c>
      <c r="J83" s="84" t="str">
        <f>VLOOKUP(72,'Predictions &amp; Results'!$D$12:$Z$115,7,FALSE())</f>
        <v>🇦🇷 Argentina</v>
      </c>
      <c r="K83" s="105" t="str">
        <f>VLOOKUP(72,'Predictions &amp; Results'!$D$12:$Z$115,9,FALSE())</f>
        <v>Arlington (Dallas)</v>
      </c>
      <c r="L83" s="105" t="s">
        <v>42</v>
      </c>
      <c r="M83" s="106" t="str">
        <f>VLOOKUP(72,'Predictions &amp; Results'!$D$12:$Z$115,19,FALSE())</f>
        <v>BBC</v>
      </c>
      <c r="N83" s="24" t="str">
        <f>VLOOKUP(72,'Predictions &amp; Results'!$D$12:$Z$115,18,FALSE())</f>
        <v/>
      </c>
      <c r="O83" s="195"/>
      <c r="P83" s="21"/>
      <c r="Q83" s="21"/>
      <c r="R83" s="21"/>
      <c r="S83" s="21"/>
      <c r="T83" s="21"/>
      <c r="U83" s="23"/>
      <c r="V83" s="23"/>
      <c r="W83" s="23"/>
      <c r="X83" s="23"/>
      <c r="Y83" s="23"/>
      <c r="Z83" s="23"/>
      <c r="AA83" s="23"/>
      <c r="AB83" s="23"/>
      <c r="AC83" s="23"/>
      <c r="AD83" s="23"/>
    </row>
    <row r="84" spans="2:30" ht="16.5" customHeight="1">
      <c r="B84" s="25"/>
      <c r="C84" s="192"/>
      <c r="D84" s="106">
        <v>73</v>
      </c>
      <c r="E84" s="83" t="str">
        <f>VLOOKUP(73,'Predictions &amp; Results'!$D$12:$Z$115,2,FALSE())</f>
        <v>28 Jun</v>
      </c>
      <c r="F84" s="83" t="str">
        <f>VLOOKUP(73,'Predictions &amp; Results'!$D$12:$Z$115,3,FALSE())</f>
        <v>Sun</v>
      </c>
      <c r="G84" s="83" t="str">
        <f>VLOOKUP(73,'Predictions &amp; Results'!$D$12:$Z$115,4,FALSE())</f>
        <v>20:00</v>
      </c>
      <c r="H84" s="106" t="s">
        <v>83</v>
      </c>
      <c r="I84" s="84" t="str">
        <f>VLOOKUP(73,'Predictions &amp; Results'!$D$12:$Z$115,6,FALSE())</f>
        <v>TBC</v>
      </c>
      <c r="J84" s="84" t="str">
        <f>VLOOKUP(73,'Predictions &amp; Results'!$D$12:$Z$115,7,FALSE())</f>
        <v>TBC</v>
      </c>
      <c r="K84" s="105" t="str">
        <f>VLOOKUP(73,'Predictions &amp; Results'!$D$12:$Z$115,9,FALSE())</f>
        <v>Inglewood (Los Angeles)</v>
      </c>
      <c r="L84" s="105" t="s">
        <v>21</v>
      </c>
      <c r="M84" s="106" t="str">
        <f>VLOOKUP(73,'Predictions &amp; Results'!$D$12:$Z$115,19,FALSE())</f>
        <v>BBC / ITV (TBC)</v>
      </c>
      <c r="N84" s="24" t="str">
        <f>VLOOKUP(73,'Predictions &amp; Results'!$D$12:$Z$115,18,FALSE())</f>
        <v/>
      </c>
      <c r="O84" s="195"/>
      <c r="P84" s="21"/>
      <c r="Q84" s="21"/>
      <c r="R84" s="21"/>
      <c r="S84" s="21"/>
      <c r="T84" s="21"/>
      <c r="U84" s="23"/>
      <c r="V84" s="23"/>
      <c r="W84" s="23"/>
      <c r="X84" s="23"/>
      <c r="Y84" s="23"/>
      <c r="Z84" s="23"/>
      <c r="AA84" s="23"/>
      <c r="AB84" s="23"/>
      <c r="AC84" s="23"/>
      <c r="AD84" s="23"/>
    </row>
    <row r="85" spans="2:30" ht="16.5" customHeight="1">
      <c r="B85" s="25"/>
      <c r="C85" s="192"/>
      <c r="D85" s="106">
        <v>76</v>
      </c>
      <c r="E85" s="83" t="str">
        <f>VLOOKUP(76,'Predictions &amp; Results'!$D$12:$Z$115,2,FALSE())</f>
        <v>29 Jun</v>
      </c>
      <c r="F85" s="83" t="str">
        <f>VLOOKUP(76,'Predictions &amp; Results'!$D$12:$Z$115,3,FALSE())</f>
        <v>Mon</v>
      </c>
      <c r="G85" s="83" t="str">
        <f>VLOOKUP(76,'Predictions &amp; Results'!$D$12:$Z$115,4,FALSE())</f>
        <v>18:00</v>
      </c>
      <c r="H85" s="106" t="s">
        <v>83</v>
      </c>
      <c r="I85" s="84" t="str">
        <f>VLOOKUP(76,'Predictions &amp; Results'!$D$12:$Z$115,6,FALSE())</f>
        <v>TBC</v>
      </c>
      <c r="J85" s="84" t="str">
        <f>VLOOKUP(76,'Predictions &amp; Results'!$D$12:$Z$115,7,FALSE())</f>
        <v>TBC</v>
      </c>
      <c r="K85" s="105" t="str">
        <f>VLOOKUP(76,'Predictions &amp; Results'!$D$12:$Z$115,9,FALSE())</f>
        <v>Houston</v>
      </c>
      <c r="L85" s="105" t="s">
        <v>38</v>
      </c>
      <c r="M85" s="106" t="str">
        <f>VLOOKUP(76,'Predictions &amp; Results'!$D$12:$Z$115,19,FALSE())</f>
        <v>BBC / ITV (TBC)</v>
      </c>
      <c r="N85" s="24" t="str">
        <f>VLOOKUP(76,'Predictions &amp; Results'!$D$12:$Z$115,18,FALSE())</f>
        <v/>
      </c>
      <c r="O85" s="195"/>
      <c r="P85" s="21"/>
      <c r="Q85" s="21"/>
      <c r="R85" s="21"/>
      <c r="S85" s="21"/>
      <c r="T85" s="21"/>
      <c r="U85" s="23"/>
      <c r="V85" s="23"/>
      <c r="W85" s="23"/>
      <c r="X85" s="23"/>
      <c r="Y85" s="23"/>
      <c r="Z85" s="23"/>
      <c r="AA85" s="23"/>
      <c r="AB85" s="23"/>
      <c r="AC85" s="23"/>
      <c r="AD85" s="23"/>
    </row>
    <row r="86" spans="2:30" ht="16.5" customHeight="1">
      <c r="B86" s="25"/>
      <c r="C86" s="192"/>
      <c r="D86" s="106">
        <v>74</v>
      </c>
      <c r="E86" s="83" t="str">
        <f>VLOOKUP(74,'Predictions &amp; Results'!$D$12:$Z$115,2,FALSE())</f>
        <v>29 Jun</v>
      </c>
      <c r="F86" s="83" t="str">
        <f>VLOOKUP(74,'Predictions &amp; Results'!$D$12:$Z$115,3,FALSE())</f>
        <v>Mon</v>
      </c>
      <c r="G86" s="83" t="str">
        <f>VLOOKUP(74,'Predictions &amp; Results'!$D$12:$Z$115,4,FALSE())</f>
        <v>21:30</v>
      </c>
      <c r="H86" s="106" t="s">
        <v>83</v>
      </c>
      <c r="I86" s="84" t="str">
        <f>VLOOKUP(74,'Predictions &amp; Results'!$D$12:$Z$115,6,FALSE())</f>
        <v>TBC</v>
      </c>
      <c r="J86" s="84" t="str">
        <f>VLOOKUP(74,'Predictions &amp; Results'!$D$12:$Z$115,7,FALSE())</f>
        <v>TBC</v>
      </c>
      <c r="K86" s="105" t="str">
        <f>VLOOKUP(74,'Predictions &amp; Results'!$D$12:$Z$115,9,FALSE())</f>
        <v>Foxborough (Boston)</v>
      </c>
      <c r="L86" s="105" t="s">
        <v>31</v>
      </c>
      <c r="M86" s="106" t="str">
        <f>VLOOKUP(74,'Predictions &amp; Results'!$D$12:$Z$115,19,FALSE())</f>
        <v>BBC / ITV (TBC)</v>
      </c>
      <c r="N86" s="24" t="str">
        <f>VLOOKUP(74,'Predictions &amp; Results'!$D$12:$Z$115,18,FALSE())</f>
        <v/>
      </c>
      <c r="O86" s="195"/>
      <c r="P86" s="21"/>
      <c r="Q86" s="21"/>
      <c r="R86" s="21"/>
      <c r="S86" s="21"/>
      <c r="T86" s="21"/>
      <c r="U86" s="23"/>
      <c r="V86" s="23"/>
      <c r="W86" s="23"/>
      <c r="X86" s="23"/>
      <c r="Y86" s="23"/>
      <c r="Z86" s="23"/>
      <c r="AA86" s="23"/>
      <c r="AB86" s="23"/>
      <c r="AC86" s="23"/>
      <c r="AD86" s="23"/>
    </row>
    <row r="87" spans="2:30" ht="16.5" customHeight="1">
      <c r="B87" s="25"/>
      <c r="C87" s="192"/>
      <c r="D87" s="106">
        <v>75</v>
      </c>
      <c r="E87" s="83" t="str">
        <f>VLOOKUP(75,'Predictions &amp; Results'!$D$12:$Z$115,2,FALSE())</f>
        <v>30 Jun</v>
      </c>
      <c r="F87" s="83" t="str">
        <f>VLOOKUP(75,'Predictions &amp; Results'!$D$12:$Z$115,3,FALSE())</f>
        <v>Tue</v>
      </c>
      <c r="G87" s="83" t="str">
        <f>VLOOKUP(75,'Predictions &amp; Results'!$D$12:$Z$115,4,FALSE())</f>
        <v>02:00</v>
      </c>
      <c r="H87" s="106" t="s">
        <v>83</v>
      </c>
      <c r="I87" s="84" t="str">
        <f>VLOOKUP(75,'Predictions &amp; Results'!$D$12:$Z$115,6,FALSE())</f>
        <v>TBC</v>
      </c>
      <c r="J87" s="84" t="str">
        <f>VLOOKUP(75,'Predictions &amp; Results'!$D$12:$Z$115,7,FALSE())</f>
        <v>TBC</v>
      </c>
      <c r="K87" s="105" t="str">
        <f>VLOOKUP(75,'Predictions &amp; Results'!$D$12:$Z$115,9,FALSE())</f>
        <v>Monterrey</v>
      </c>
      <c r="L87" s="105" t="s">
        <v>48</v>
      </c>
      <c r="M87" s="106" t="str">
        <f>VLOOKUP(75,'Predictions &amp; Results'!$D$12:$Z$115,19,FALSE())</f>
        <v>BBC / ITV (TBC)</v>
      </c>
      <c r="N87" s="24" t="str">
        <f>VLOOKUP(75,'Predictions &amp; Results'!$D$12:$Z$115,18,FALSE())</f>
        <v/>
      </c>
      <c r="O87" s="195"/>
      <c r="P87" s="21"/>
      <c r="Q87" s="21"/>
      <c r="R87" s="21"/>
      <c r="S87" s="21"/>
      <c r="T87" s="21"/>
      <c r="U87" s="23"/>
      <c r="V87" s="23"/>
      <c r="W87" s="23"/>
      <c r="X87" s="23"/>
      <c r="Y87" s="23"/>
      <c r="Z87" s="23"/>
      <c r="AA87" s="23"/>
      <c r="AB87" s="23"/>
      <c r="AC87" s="23"/>
      <c r="AD87" s="23"/>
    </row>
    <row r="88" spans="2:30" ht="16.5" customHeight="1">
      <c r="B88" s="25"/>
      <c r="C88" s="192"/>
      <c r="D88" s="106">
        <v>78</v>
      </c>
      <c r="E88" s="83" t="str">
        <f>VLOOKUP(78,'Predictions &amp; Results'!$D$12:$Z$115,2,FALSE())</f>
        <v>30 Jun</v>
      </c>
      <c r="F88" s="83" t="str">
        <f>VLOOKUP(78,'Predictions &amp; Results'!$D$12:$Z$115,3,FALSE())</f>
        <v>Tue</v>
      </c>
      <c r="G88" s="83" t="str">
        <f>VLOOKUP(78,'Predictions &amp; Results'!$D$12:$Z$115,4,FALSE())</f>
        <v>18:00</v>
      </c>
      <c r="H88" s="106" t="s">
        <v>83</v>
      </c>
      <c r="I88" s="84" t="str">
        <f>VLOOKUP(78,'Predictions &amp; Results'!$D$12:$Z$115,6,FALSE())</f>
        <v>TBC</v>
      </c>
      <c r="J88" s="84" t="str">
        <f>VLOOKUP(78,'Predictions &amp; Results'!$D$12:$Z$115,7,FALSE())</f>
        <v>TBC</v>
      </c>
      <c r="K88" s="105" t="str">
        <f>VLOOKUP(78,'Predictions &amp; Results'!$D$12:$Z$115,9,FALSE())</f>
        <v>Arlington (Dallas)</v>
      </c>
      <c r="L88" s="105" t="s">
        <v>42</v>
      </c>
      <c r="M88" s="106" t="str">
        <f>VLOOKUP(78,'Predictions &amp; Results'!$D$12:$Z$115,19,FALSE())</f>
        <v>BBC / ITV (TBC)</v>
      </c>
      <c r="N88" s="24" t="str">
        <f>VLOOKUP(78,'Predictions &amp; Results'!$D$12:$Z$115,18,FALSE())</f>
        <v/>
      </c>
      <c r="O88" s="195"/>
      <c r="P88" s="21"/>
      <c r="Q88" s="21"/>
      <c r="R88" s="21"/>
      <c r="S88" s="21"/>
      <c r="T88" s="21"/>
      <c r="U88" s="23"/>
      <c r="V88" s="23"/>
      <c r="W88" s="23"/>
      <c r="X88" s="23"/>
      <c r="Y88" s="23"/>
      <c r="Z88" s="23"/>
      <c r="AA88" s="23"/>
      <c r="AB88" s="23"/>
      <c r="AC88" s="23"/>
      <c r="AD88" s="23"/>
    </row>
    <row r="89" spans="2:30" ht="16.5" customHeight="1">
      <c r="B89" s="25"/>
      <c r="C89" s="192"/>
      <c r="D89" s="106">
        <v>77</v>
      </c>
      <c r="E89" s="83" t="str">
        <f>VLOOKUP(77,'Predictions &amp; Results'!$D$12:$Z$115,2,FALSE())</f>
        <v>30 Jun</v>
      </c>
      <c r="F89" s="83" t="str">
        <f>VLOOKUP(77,'Predictions &amp; Results'!$D$12:$Z$115,3,FALSE())</f>
        <v>Tue</v>
      </c>
      <c r="G89" s="83" t="str">
        <f>VLOOKUP(77,'Predictions &amp; Results'!$D$12:$Z$115,4,FALSE())</f>
        <v>22:00</v>
      </c>
      <c r="H89" s="106" t="s">
        <v>83</v>
      </c>
      <c r="I89" s="84" t="str">
        <f>VLOOKUP(77,'Predictions &amp; Results'!$D$12:$Z$115,6,FALSE())</f>
        <v>TBC</v>
      </c>
      <c r="J89" s="84" t="str">
        <f>VLOOKUP(77,'Predictions &amp; Results'!$D$12:$Z$115,7,FALSE())</f>
        <v>TBC</v>
      </c>
      <c r="K89" s="105" t="str">
        <f>VLOOKUP(77,'Predictions &amp; Results'!$D$12:$Z$115,9,FALSE())</f>
        <v>East Rutherford (NY/NJ)</v>
      </c>
      <c r="L89" s="105" t="s">
        <v>28</v>
      </c>
      <c r="M89" s="106" t="str">
        <f>VLOOKUP(77,'Predictions &amp; Results'!$D$12:$Z$115,19,FALSE())</f>
        <v>BBC / ITV (TBC)</v>
      </c>
      <c r="N89" s="24" t="str">
        <f>VLOOKUP(77,'Predictions &amp; Results'!$D$12:$Z$115,18,FALSE())</f>
        <v/>
      </c>
      <c r="O89" s="195"/>
      <c r="P89" s="21"/>
      <c r="Q89" s="21"/>
      <c r="R89" s="21"/>
      <c r="S89" s="21"/>
      <c r="T89" s="21"/>
      <c r="U89" s="23"/>
      <c r="V89" s="23"/>
      <c r="W89" s="23"/>
      <c r="X89" s="23"/>
      <c r="Y89" s="23"/>
      <c r="Z89" s="23"/>
      <c r="AA89" s="23"/>
      <c r="AB89" s="23"/>
      <c r="AC89" s="23"/>
      <c r="AD89" s="23"/>
    </row>
    <row r="90" spans="2:30" ht="16.5" customHeight="1">
      <c r="B90" s="25"/>
      <c r="C90" s="192"/>
      <c r="D90" s="106">
        <v>79</v>
      </c>
      <c r="E90" s="83" t="str">
        <f>VLOOKUP(79,'Predictions &amp; Results'!$D$12:$Z$115,2,FALSE())</f>
        <v>1 Jul</v>
      </c>
      <c r="F90" s="83" t="str">
        <f>VLOOKUP(79,'Predictions &amp; Results'!$D$12:$Z$115,3,FALSE())</f>
        <v>Wed</v>
      </c>
      <c r="G90" s="83" t="str">
        <f>VLOOKUP(79,'Predictions &amp; Results'!$D$12:$Z$115,4,FALSE())</f>
        <v>02:00</v>
      </c>
      <c r="H90" s="106" t="s">
        <v>83</v>
      </c>
      <c r="I90" s="84" t="str">
        <f>VLOOKUP(79,'Predictions &amp; Results'!$D$12:$Z$115,6,FALSE())</f>
        <v>TBC</v>
      </c>
      <c r="J90" s="84" t="str">
        <f>VLOOKUP(79,'Predictions &amp; Results'!$D$12:$Z$115,7,FALSE())</f>
        <v>TBC</v>
      </c>
      <c r="K90" s="105" t="str">
        <f>VLOOKUP(79,'Predictions &amp; Results'!$D$12:$Z$115,9,FALSE())</f>
        <v>Mexico City</v>
      </c>
      <c r="L90" s="105" t="s">
        <v>10</v>
      </c>
      <c r="M90" s="106" t="str">
        <f>VLOOKUP(79,'Predictions &amp; Results'!$D$12:$Z$115,19,FALSE())</f>
        <v>BBC / ITV (TBC)</v>
      </c>
      <c r="N90" s="24" t="str">
        <f>VLOOKUP(79,'Predictions &amp; Results'!$D$12:$Z$115,18,FALSE())</f>
        <v/>
      </c>
      <c r="O90" s="195"/>
      <c r="P90" s="21"/>
      <c r="Q90" s="21"/>
      <c r="R90" s="21"/>
      <c r="S90" s="21"/>
      <c r="T90" s="21"/>
      <c r="U90" s="23"/>
      <c r="V90" s="23"/>
      <c r="W90" s="23"/>
      <c r="X90" s="23"/>
      <c r="Y90" s="23"/>
      <c r="Z90" s="23"/>
      <c r="AA90" s="23"/>
      <c r="AB90" s="23"/>
      <c r="AC90" s="23"/>
      <c r="AD90" s="23"/>
    </row>
    <row r="91" spans="2:30" ht="16.5" customHeight="1">
      <c r="B91" s="25"/>
      <c r="C91" s="192"/>
      <c r="D91" s="106">
        <v>80</v>
      </c>
      <c r="E91" s="83" t="str">
        <f>VLOOKUP(80,'Predictions &amp; Results'!$D$12:$Z$115,2,FALSE())</f>
        <v>1 Jul</v>
      </c>
      <c r="F91" s="83" t="str">
        <f>VLOOKUP(80,'Predictions &amp; Results'!$D$12:$Z$115,3,FALSE())</f>
        <v>Wed</v>
      </c>
      <c r="G91" s="83" t="str">
        <f>VLOOKUP(80,'Predictions &amp; Results'!$D$12:$Z$115,4,FALSE())</f>
        <v>17:00</v>
      </c>
      <c r="H91" s="106" t="s">
        <v>83</v>
      </c>
      <c r="I91" s="84" t="str">
        <f>VLOOKUP(80,'Predictions &amp; Results'!$D$12:$Z$115,6,FALSE())</f>
        <v>TBC</v>
      </c>
      <c r="J91" s="84" t="str">
        <f>VLOOKUP(80,'Predictions &amp; Results'!$D$12:$Z$115,7,FALSE())</f>
        <v>TBC</v>
      </c>
      <c r="K91" s="105" t="str">
        <f>VLOOKUP(80,'Predictions &amp; Results'!$D$12:$Z$115,9,FALSE())</f>
        <v>Atlanta</v>
      </c>
      <c r="L91" s="105" t="s">
        <v>52</v>
      </c>
      <c r="M91" s="106" t="str">
        <f>VLOOKUP(80,'Predictions &amp; Results'!$D$12:$Z$115,19,FALSE())</f>
        <v>BBC / ITV (TBC)</v>
      </c>
      <c r="N91" s="24" t="str">
        <f>VLOOKUP(80,'Predictions &amp; Results'!$D$12:$Z$115,18,FALSE())</f>
        <v/>
      </c>
      <c r="O91" s="195"/>
      <c r="P91" s="21"/>
      <c r="Q91" s="21"/>
      <c r="R91" s="21"/>
      <c r="S91" s="21"/>
      <c r="T91" s="21"/>
      <c r="U91" s="23"/>
      <c r="V91" s="23"/>
      <c r="W91" s="23"/>
      <c r="X91" s="23"/>
      <c r="Y91" s="23"/>
      <c r="Z91" s="23"/>
      <c r="AA91" s="23"/>
      <c r="AB91" s="23"/>
      <c r="AC91" s="23"/>
      <c r="AD91" s="23"/>
    </row>
    <row r="92" spans="2:30" ht="16.5" customHeight="1">
      <c r="B92" s="25"/>
      <c r="C92" s="192"/>
      <c r="D92" s="106">
        <v>82</v>
      </c>
      <c r="E92" s="83" t="str">
        <f>VLOOKUP(82,'Predictions &amp; Results'!$D$12:$Z$115,2,FALSE())</f>
        <v>1 Jul</v>
      </c>
      <c r="F92" s="83" t="str">
        <f>VLOOKUP(82,'Predictions &amp; Results'!$D$12:$Z$115,3,FALSE())</f>
        <v>Wed</v>
      </c>
      <c r="G92" s="83" t="str">
        <f>VLOOKUP(82,'Predictions &amp; Results'!$D$12:$Z$115,4,FALSE())</f>
        <v>21:00</v>
      </c>
      <c r="H92" s="106" t="s">
        <v>83</v>
      </c>
      <c r="I92" s="84" t="str">
        <f>VLOOKUP(82,'Predictions &amp; Results'!$D$12:$Z$115,6,FALSE())</f>
        <v>TBC</v>
      </c>
      <c r="J92" s="84" t="str">
        <f>VLOOKUP(82,'Predictions &amp; Results'!$D$12:$Z$115,7,FALSE())</f>
        <v>TBC</v>
      </c>
      <c r="K92" s="105" t="str">
        <f>VLOOKUP(82,'Predictions &amp; Results'!$D$12:$Z$115,9,FALSE())</f>
        <v>Seattle</v>
      </c>
      <c r="L92" s="105" t="s">
        <v>56</v>
      </c>
      <c r="M92" s="106" t="str">
        <f>VLOOKUP(82,'Predictions &amp; Results'!$D$12:$Z$115,19,FALSE())</f>
        <v>BBC / ITV (TBC)</v>
      </c>
      <c r="N92" s="24" t="str">
        <f>VLOOKUP(82,'Predictions &amp; Results'!$D$12:$Z$115,18,FALSE())</f>
        <v/>
      </c>
      <c r="O92" s="195"/>
      <c r="P92" s="21"/>
      <c r="Q92" s="21"/>
      <c r="R92" s="21"/>
      <c r="S92" s="21"/>
      <c r="T92" s="21"/>
      <c r="U92" s="23"/>
      <c r="V92" s="23"/>
      <c r="W92" s="23"/>
      <c r="X92" s="23"/>
      <c r="Y92" s="23"/>
      <c r="Z92" s="23"/>
      <c r="AA92" s="23"/>
      <c r="AB92" s="23"/>
      <c r="AC92" s="23"/>
      <c r="AD92" s="23"/>
    </row>
    <row r="93" spans="2:30" ht="16.5" customHeight="1">
      <c r="B93" s="25"/>
      <c r="C93" s="192"/>
      <c r="D93" s="106">
        <v>81</v>
      </c>
      <c r="E93" s="83" t="str">
        <f>VLOOKUP(81,'Predictions &amp; Results'!$D$12:$Z$115,2,FALSE())</f>
        <v>2 Jul</v>
      </c>
      <c r="F93" s="83" t="str">
        <f>VLOOKUP(81,'Predictions &amp; Results'!$D$12:$Z$115,3,FALSE())</f>
        <v>Thu</v>
      </c>
      <c r="G93" s="83" t="str">
        <f>VLOOKUP(81,'Predictions &amp; Results'!$D$12:$Z$115,4,FALSE())</f>
        <v>01:00</v>
      </c>
      <c r="H93" s="106" t="s">
        <v>83</v>
      </c>
      <c r="I93" s="84" t="str">
        <f>VLOOKUP(81,'Predictions &amp; Results'!$D$12:$Z$115,6,FALSE())</f>
        <v>TBC</v>
      </c>
      <c r="J93" s="84" t="str">
        <f>VLOOKUP(81,'Predictions &amp; Results'!$D$12:$Z$115,7,FALSE())</f>
        <v>TBC</v>
      </c>
      <c r="K93" s="105" t="str">
        <f>VLOOKUP(81,'Predictions &amp; Results'!$D$12:$Z$115,9,FALSE())</f>
        <v>Santa Clara (SF Bay Area)</v>
      </c>
      <c r="L93" s="105" t="s">
        <v>24</v>
      </c>
      <c r="M93" s="106" t="str">
        <f>VLOOKUP(81,'Predictions &amp; Results'!$D$12:$Z$115,19,FALSE())</f>
        <v>BBC / ITV (TBC)</v>
      </c>
      <c r="N93" s="24" t="str">
        <f>VLOOKUP(81,'Predictions &amp; Results'!$D$12:$Z$115,18,FALSE())</f>
        <v/>
      </c>
      <c r="O93" s="195"/>
      <c r="P93" s="21"/>
      <c r="Q93" s="21">
        <v>1</v>
      </c>
      <c r="R93" s="21"/>
      <c r="S93" s="21"/>
      <c r="T93" s="21"/>
      <c r="U93" s="23"/>
      <c r="V93" s="23"/>
      <c r="W93" s="23"/>
      <c r="X93" s="23"/>
      <c r="Y93" s="23"/>
      <c r="Z93" s="23"/>
      <c r="AA93" s="23"/>
      <c r="AB93" s="23"/>
      <c r="AC93" s="23"/>
      <c r="AD93" s="23"/>
    </row>
    <row r="94" spans="2:30" ht="16.5" customHeight="1">
      <c r="B94" s="25"/>
      <c r="C94" s="192"/>
      <c r="D94" s="106">
        <v>84</v>
      </c>
      <c r="E94" s="83" t="str">
        <f>VLOOKUP(84,'Predictions &amp; Results'!$D$12:$Z$115,2,FALSE())</f>
        <v>2 Jul</v>
      </c>
      <c r="F94" s="83" t="str">
        <f>VLOOKUP(84,'Predictions &amp; Results'!$D$12:$Z$115,3,FALSE())</f>
        <v>Thu</v>
      </c>
      <c r="G94" s="83" t="str">
        <f>VLOOKUP(84,'Predictions &amp; Results'!$D$12:$Z$115,4,FALSE())</f>
        <v>20:00</v>
      </c>
      <c r="H94" s="106" t="s">
        <v>83</v>
      </c>
      <c r="I94" s="84" t="str">
        <f>VLOOKUP(84,'Predictions &amp; Results'!$D$12:$Z$115,6,FALSE())</f>
        <v>TBC</v>
      </c>
      <c r="J94" s="84" t="str">
        <f>VLOOKUP(84,'Predictions &amp; Results'!$D$12:$Z$115,7,FALSE())</f>
        <v>TBC</v>
      </c>
      <c r="K94" s="105" t="str">
        <f>VLOOKUP(84,'Predictions &amp; Results'!$D$12:$Z$115,9,FALSE())</f>
        <v>Inglewood (Los Angeles)</v>
      </c>
      <c r="L94" s="105" t="s">
        <v>21</v>
      </c>
      <c r="M94" s="106" t="str">
        <f>VLOOKUP(84,'Predictions &amp; Results'!$D$12:$Z$115,19,FALSE())</f>
        <v>BBC / ITV (TBC)</v>
      </c>
      <c r="N94" s="24" t="str">
        <f>VLOOKUP(84,'Predictions &amp; Results'!$D$12:$Z$115,18,FALSE())</f>
        <v/>
      </c>
      <c r="O94" s="195"/>
      <c r="P94" s="21"/>
      <c r="Q94" s="21"/>
      <c r="R94" s="21"/>
      <c r="S94" s="21"/>
      <c r="T94" s="21"/>
      <c r="U94" s="23"/>
      <c r="V94" s="23"/>
      <c r="W94" s="23"/>
      <c r="X94" s="23"/>
      <c r="Y94" s="23"/>
      <c r="Z94" s="23"/>
      <c r="AA94" s="23"/>
      <c r="AB94" s="23"/>
      <c r="AC94" s="23"/>
      <c r="AD94" s="23"/>
    </row>
    <row r="95" spans="2:30" ht="16.5" customHeight="1">
      <c r="B95" s="25"/>
      <c r="C95" s="192"/>
      <c r="D95" s="106">
        <v>83</v>
      </c>
      <c r="E95" s="83" t="str">
        <f>VLOOKUP(83,'Predictions &amp; Results'!$D$12:$Z$115,2,FALSE())</f>
        <v>3 Jul</v>
      </c>
      <c r="F95" s="83" t="str">
        <f>VLOOKUP(83,'Predictions &amp; Results'!$D$12:$Z$115,3,FALSE())</f>
        <v>Fri</v>
      </c>
      <c r="G95" s="83" t="str">
        <f>VLOOKUP(83,'Predictions &amp; Results'!$D$12:$Z$115,4,FALSE())</f>
        <v>00:00</v>
      </c>
      <c r="H95" s="106" t="s">
        <v>83</v>
      </c>
      <c r="I95" s="84" t="str">
        <f>VLOOKUP(83,'Predictions &amp; Results'!$D$12:$Z$115,6,FALSE())</f>
        <v>TBC</v>
      </c>
      <c r="J95" s="84" t="str">
        <f>VLOOKUP(83,'Predictions &amp; Results'!$D$12:$Z$115,7,FALSE())</f>
        <v>TBC</v>
      </c>
      <c r="K95" s="105" t="str">
        <f>VLOOKUP(83,'Predictions &amp; Results'!$D$12:$Z$115,9,FALSE())</f>
        <v>Toronto</v>
      </c>
      <c r="L95" s="105" t="s">
        <v>17</v>
      </c>
      <c r="M95" s="106" t="str">
        <f>VLOOKUP(83,'Predictions &amp; Results'!$D$12:$Z$115,19,FALSE())</f>
        <v>BBC / ITV (TBC)</v>
      </c>
      <c r="N95" s="24" t="str">
        <f>VLOOKUP(83,'Predictions &amp; Results'!$D$12:$Z$115,18,FALSE())</f>
        <v/>
      </c>
      <c r="O95" s="195"/>
      <c r="P95" s="21"/>
      <c r="Q95" s="21"/>
      <c r="R95" s="21"/>
      <c r="S95" s="21"/>
      <c r="T95" s="21"/>
      <c r="U95" s="23"/>
      <c r="V95" s="23"/>
      <c r="W95" s="23"/>
      <c r="X95" s="23"/>
      <c r="Y95" s="23"/>
      <c r="Z95" s="23"/>
      <c r="AA95" s="23"/>
      <c r="AB95" s="23"/>
      <c r="AC95" s="23"/>
      <c r="AD95" s="23"/>
    </row>
    <row r="96" spans="2:30" ht="16.5" customHeight="1">
      <c r="B96" s="25"/>
      <c r="C96" s="192"/>
      <c r="D96" s="106">
        <v>85</v>
      </c>
      <c r="E96" s="83" t="str">
        <f>VLOOKUP(85,'Predictions &amp; Results'!$D$12:$Z$115,2,FALSE())</f>
        <v>3 Jul</v>
      </c>
      <c r="F96" s="83" t="str">
        <f>VLOOKUP(85,'Predictions &amp; Results'!$D$12:$Z$115,3,FALSE())</f>
        <v>Fri</v>
      </c>
      <c r="G96" s="83" t="str">
        <f>VLOOKUP(85,'Predictions &amp; Results'!$D$12:$Z$115,4,FALSE())</f>
        <v>04:00</v>
      </c>
      <c r="H96" s="106" t="s">
        <v>83</v>
      </c>
      <c r="I96" s="84" t="str">
        <f>VLOOKUP(85,'Predictions &amp; Results'!$D$12:$Z$115,6,FALSE())</f>
        <v>TBC</v>
      </c>
      <c r="J96" s="84" t="str">
        <f>VLOOKUP(85,'Predictions &amp; Results'!$D$12:$Z$115,7,FALSE())</f>
        <v>TBC</v>
      </c>
      <c r="K96" s="105" t="str">
        <f>VLOOKUP(85,'Predictions &amp; Results'!$D$12:$Z$115,9,FALSE())</f>
        <v>Vancouver</v>
      </c>
      <c r="L96" s="105" t="s">
        <v>34</v>
      </c>
      <c r="M96" s="106" t="str">
        <f>VLOOKUP(85,'Predictions &amp; Results'!$D$12:$Z$115,19,FALSE())</f>
        <v>BBC / ITV (TBC)</v>
      </c>
      <c r="N96" s="24" t="str">
        <f>VLOOKUP(85,'Predictions &amp; Results'!$D$12:$Z$115,18,FALSE())</f>
        <v/>
      </c>
      <c r="O96" s="195"/>
      <c r="P96" s="21"/>
      <c r="Q96" s="21"/>
      <c r="R96" s="21"/>
      <c r="S96" s="21"/>
      <c r="T96" s="21"/>
      <c r="U96" s="23"/>
      <c r="V96" s="23"/>
      <c r="W96" s="23"/>
      <c r="X96" s="23"/>
      <c r="Y96" s="23"/>
      <c r="Z96" s="23"/>
      <c r="AA96" s="23"/>
      <c r="AB96" s="23"/>
      <c r="AC96" s="23"/>
      <c r="AD96" s="23"/>
    </row>
    <row r="97" spans="2:30" ht="16.5" customHeight="1">
      <c r="B97" s="25"/>
      <c r="C97" s="192"/>
      <c r="D97" s="106">
        <v>88</v>
      </c>
      <c r="E97" s="83" t="str">
        <f>VLOOKUP(88,'Predictions &amp; Results'!$D$12:$Z$115,2,FALSE())</f>
        <v>3 Jul</v>
      </c>
      <c r="F97" s="83" t="str">
        <f>VLOOKUP(88,'Predictions &amp; Results'!$D$12:$Z$115,3,FALSE())</f>
        <v>Fri</v>
      </c>
      <c r="G97" s="83" t="str">
        <f>VLOOKUP(88,'Predictions &amp; Results'!$D$12:$Z$115,4,FALSE())</f>
        <v>19:00</v>
      </c>
      <c r="H97" s="106" t="s">
        <v>83</v>
      </c>
      <c r="I97" s="84" t="str">
        <f>VLOOKUP(88,'Predictions &amp; Results'!$D$12:$Z$115,6,FALSE())</f>
        <v>TBC</v>
      </c>
      <c r="J97" s="84" t="str">
        <f>VLOOKUP(88,'Predictions &amp; Results'!$D$12:$Z$115,7,FALSE())</f>
        <v>TBC</v>
      </c>
      <c r="K97" s="105" t="str">
        <f>VLOOKUP(88,'Predictions &amp; Results'!$D$12:$Z$115,9,FALSE())</f>
        <v>Arlington (Dallas)</v>
      </c>
      <c r="L97" s="105" t="s">
        <v>42</v>
      </c>
      <c r="M97" s="106" t="str">
        <f>VLOOKUP(88,'Predictions &amp; Results'!$D$12:$Z$115,19,FALSE())</f>
        <v>BBC / ITV (TBC)</v>
      </c>
      <c r="N97" s="24" t="str">
        <f>VLOOKUP(88,'Predictions &amp; Results'!$D$12:$Z$115,18,FALSE())</f>
        <v/>
      </c>
      <c r="O97" s="195"/>
      <c r="P97" s="21"/>
      <c r="Q97" s="21"/>
      <c r="R97" s="21"/>
      <c r="S97" s="21"/>
      <c r="T97" s="21"/>
      <c r="U97" s="23"/>
      <c r="V97" s="23"/>
      <c r="W97" s="23"/>
      <c r="X97" s="23"/>
      <c r="Y97" s="23"/>
      <c r="Z97" s="23"/>
      <c r="AA97" s="23"/>
      <c r="AB97" s="23"/>
      <c r="AC97" s="23"/>
      <c r="AD97" s="23"/>
    </row>
    <row r="98" spans="2:30" ht="16.5" customHeight="1">
      <c r="B98" s="25"/>
      <c r="C98" s="192"/>
      <c r="D98" s="106">
        <v>86</v>
      </c>
      <c r="E98" s="83" t="str">
        <f>VLOOKUP(86,'Predictions &amp; Results'!$D$12:$Z$115,2,FALSE())</f>
        <v>3 Jul</v>
      </c>
      <c r="F98" s="83" t="str">
        <f>VLOOKUP(86,'Predictions &amp; Results'!$D$12:$Z$115,3,FALSE())</f>
        <v>Fri</v>
      </c>
      <c r="G98" s="83" t="str">
        <f>VLOOKUP(86,'Predictions &amp; Results'!$D$12:$Z$115,4,FALSE())</f>
        <v>23:00</v>
      </c>
      <c r="H98" s="106" t="s">
        <v>83</v>
      </c>
      <c r="I98" s="84" t="str">
        <f>VLOOKUP(86,'Predictions &amp; Results'!$D$12:$Z$115,6,FALSE())</f>
        <v>TBC</v>
      </c>
      <c r="J98" s="84" t="str">
        <f>VLOOKUP(86,'Predictions &amp; Results'!$D$12:$Z$115,7,FALSE())</f>
        <v>TBC</v>
      </c>
      <c r="K98" s="105" t="str">
        <f>VLOOKUP(86,'Predictions &amp; Results'!$D$12:$Z$115,9,FALSE())</f>
        <v>Miami Gardens</v>
      </c>
      <c r="L98" s="105" t="s">
        <v>59</v>
      </c>
      <c r="M98" s="106" t="str">
        <f>VLOOKUP(86,'Predictions &amp; Results'!$D$12:$Z$115,19,FALSE())</f>
        <v>BBC / ITV (TBC)</v>
      </c>
      <c r="N98" s="24" t="str">
        <f>VLOOKUP(86,'Predictions &amp; Results'!$D$12:$Z$115,18,FALSE())</f>
        <v/>
      </c>
      <c r="O98" s="195"/>
      <c r="P98" s="21"/>
      <c r="Q98" s="21"/>
      <c r="R98" s="21"/>
      <c r="S98" s="21"/>
      <c r="T98" s="21"/>
      <c r="U98" s="23"/>
      <c r="V98" s="23"/>
      <c r="W98" s="23"/>
      <c r="X98" s="23"/>
      <c r="Y98" s="23"/>
      <c r="Z98" s="23"/>
      <c r="AA98" s="23"/>
      <c r="AB98" s="23"/>
      <c r="AC98" s="23"/>
      <c r="AD98" s="23"/>
    </row>
    <row r="99" spans="2:30" ht="16.5" customHeight="1">
      <c r="B99" s="25"/>
      <c r="C99" s="192"/>
      <c r="D99" s="106">
        <v>87</v>
      </c>
      <c r="E99" s="83" t="str">
        <f>VLOOKUP(87,'Predictions &amp; Results'!$D$12:$Z$115,2,FALSE())</f>
        <v>4 Jul</v>
      </c>
      <c r="F99" s="83" t="str">
        <f>VLOOKUP(87,'Predictions &amp; Results'!$D$12:$Z$115,3,FALSE())</f>
        <v>Sat</v>
      </c>
      <c r="G99" s="83" t="str">
        <f>VLOOKUP(87,'Predictions &amp; Results'!$D$12:$Z$115,4,FALSE())</f>
        <v>02:30</v>
      </c>
      <c r="H99" s="106" t="s">
        <v>83</v>
      </c>
      <c r="I99" s="84" t="str">
        <f>VLOOKUP(87,'Predictions &amp; Results'!$D$12:$Z$115,6,FALSE())</f>
        <v>TBC</v>
      </c>
      <c r="J99" s="84" t="str">
        <f>VLOOKUP(87,'Predictions &amp; Results'!$D$12:$Z$115,7,FALSE())</f>
        <v>TBC</v>
      </c>
      <c r="K99" s="105" t="str">
        <f>VLOOKUP(87,'Predictions &amp; Results'!$D$12:$Z$115,9,FALSE())</f>
        <v>Kansas City</v>
      </c>
      <c r="L99" s="105" t="s">
        <v>70</v>
      </c>
      <c r="M99" s="106" t="str">
        <f>VLOOKUP(87,'Predictions &amp; Results'!$D$12:$Z$115,19,FALSE())</f>
        <v>BBC / ITV (TBC)</v>
      </c>
      <c r="N99" s="24" t="str">
        <f>VLOOKUP(87,'Predictions &amp; Results'!$D$12:$Z$115,18,FALSE())</f>
        <v/>
      </c>
      <c r="O99" s="195"/>
      <c r="P99" s="21"/>
      <c r="Q99" s="21"/>
      <c r="R99" s="21"/>
      <c r="S99" s="21"/>
      <c r="T99" s="21"/>
      <c r="U99" s="23"/>
      <c r="V99" s="23"/>
      <c r="W99" s="23"/>
      <c r="X99" s="23"/>
      <c r="Y99" s="23"/>
      <c r="Z99" s="23"/>
      <c r="AA99" s="23"/>
      <c r="AB99" s="23"/>
      <c r="AC99" s="23"/>
      <c r="AD99" s="23"/>
    </row>
    <row r="100" spans="2:30" ht="16.5" customHeight="1">
      <c r="B100" s="25"/>
      <c r="C100" s="192"/>
      <c r="D100" s="106">
        <v>89</v>
      </c>
      <c r="E100" s="83" t="str">
        <f>VLOOKUP(89,'Predictions &amp; Results'!$D$12:$Z$115,2,FALSE())</f>
        <v>4 Jul</v>
      </c>
      <c r="F100" s="83" t="str">
        <f>VLOOKUP(89,'Predictions &amp; Results'!$D$12:$Z$115,3,FALSE())</f>
        <v>Sat</v>
      </c>
      <c r="G100" s="83" t="str">
        <f>VLOOKUP(89,'Predictions &amp; Results'!$D$12:$Z$115,4,FALSE())</f>
        <v>18:00</v>
      </c>
      <c r="H100" s="106" t="s">
        <v>84</v>
      </c>
      <c r="I100" s="84" t="str">
        <f>VLOOKUP(89,'Predictions &amp; Results'!$D$12:$Z$115,6,FALSE())</f>
        <v>TBC</v>
      </c>
      <c r="J100" s="84" t="str">
        <f>VLOOKUP(89,'Predictions &amp; Results'!$D$12:$Z$115,7,FALSE())</f>
        <v>TBC</v>
      </c>
      <c r="K100" s="105" t="str">
        <f>VLOOKUP(89,'Predictions &amp; Results'!$D$12:$Z$115,9,FALSE())</f>
        <v>Houston</v>
      </c>
      <c r="L100" s="105" t="s">
        <v>38</v>
      </c>
      <c r="M100" s="106" t="str">
        <f>VLOOKUP(89,'Predictions &amp; Results'!$D$12:$Z$115,19,FALSE())</f>
        <v>BBC / ITV (TBC)</v>
      </c>
      <c r="N100" s="24" t="str">
        <f>VLOOKUP(89,'Predictions &amp; Results'!$D$12:$Z$115,18,FALSE())</f>
        <v/>
      </c>
      <c r="O100" s="195"/>
      <c r="P100" s="21"/>
      <c r="Q100" s="21"/>
      <c r="R100" s="21"/>
      <c r="S100" s="21"/>
      <c r="T100" s="21"/>
      <c r="U100" s="23"/>
      <c r="V100" s="23"/>
      <c r="W100" s="23"/>
      <c r="X100" s="23"/>
      <c r="Y100" s="23"/>
      <c r="Z100" s="23"/>
      <c r="AA100" s="23"/>
      <c r="AB100" s="23"/>
      <c r="AC100" s="23"/>
      <c r="AD100" s="23"/>
    </row>
    <row r="101" spans="2:30" ht="16.5" customHeight="1">
      <c r="B101" s="25"/>
      <c r="C101" s="192"/>
      <c r="D101" s="106">
        <v>90</v>
      </c>
      <c r="E101" s="83" t="str">
        <f>VLOOKUP(90,'Predictions &amp; Results'!$D$12:$Z$115,2,FALSE())</f>
        <v>4 Jul</v>
      </c>
      <c r="F101" s="83" t="str">
        <f>VLOOKUP(90,'Predictions &amp; Results'!$D$12:$Z$115,3,FALSE())</f>
        <v>Sat</v>
      </c>
      <c r="G101" s="83" t="str">
        <f>VLOOKUP(90,'Predictions &amp; Results'!$D$12:$Z$115,4,FALSE())</f>
        <v>22:00</v>
      </c>
      <c r="H101" s="106" t="s">
        <v>84</v>
      </c>
      <c r="I101" s="84" t="str">
        <f>VLOOKUP(90,'Predictions &amp; Results'!$D$12:$Z$115,6,FALSE())</f>
        <v>TBC</v>
      </c>
      <c r="J101" s="84" t="str">
        <f>VLOOKUP(90,'Predictions &amp; Results'!$D$12:$Z$115,7,FALSE())</f>
        <v>TBC</v>
      </c>
      <c r="K101" s="105" t="str">
        <f>VLOOKUP(90,'Predictions &amp; Results'!$D$12:$Z$115,9,FALSE())</f>
        <v>Philadelphia</v>
      </c>
      <c r="L101" s="105" t="s">
        <v>45</v>
      </c>
      <c r="M101" s="106" t="str">
        <f>VLOOKUP(90,'Predictions &amp; Results'!$D$12:$Z$115,19,FALSE())</f>
        <v>BBC / ITV (TBC)</v>
      </c>
      <c r="N101" s="24" t="str">
        <f>VLOOKUP(90,'Predictions &amp; Results'!$D$12:$Z$115,18,FALSE())</f>
        <v/>
      </c>
      <c r="O101" s="195"/>
      <c r="P101" s="21"/>
      <c r="Q101" s="21"/>
      <c r="R101" s="21"/>
      <c r="S101" s="21"/>
      <c r="T101" s="21"/>
      <c r="U101" s="23"/>
      <c r="V101" s="23"/>
      <c r="W101" s="23"/>
      <c r="X101" s="23"/>
      <c r="Y101" s="23"/>
      <c r="Z101" s="23"/>
      <c r="AA101" s="23"/>
      <c r="AB101" s="23"/>
      <c r="AC101" s="23"/>
      <c r="AD101" s="23"/>
    </row>
    <row r="102" spans="2:30" ht="16.5" customHeight="1">
      <c r="B102" s="25"/>
      <c r="C102" s="192"/>
      <c r="D102" s="106">
        <v>91</v>
      </c>
      <c r="E102" s="83" t="str">
        <f>VLOOKUP(91,'Predictions &amp; Results'!$D$12:$Z$115,2,FALSE())</f>
        <v>5 Jul</v>
      </c>
      <c r="F102" s="83" t="str">
        <f>VLOOKUP(91,'Predictions &amp; Results'!$D$12:$Z$115,3,FALSE())</f>
        <v>Sun</v>
      </c>
      <c r="G102" s="83" t="str">
        <f>VLOOKUP(91,'Predictions &amp; Results'!$D$12:$Z$115,4,FALSE())</f>
        <v>21:00</v>
      </c>
      <c r="H102" s="106" t="s">
        <v>84</v>
      </c>
      <c r="I102" s="84" t="str">
        <f>VLOOKUP(91,'Predictions &amp; Results'!$D$12:$Z$115,6,FALSE())</f>
        <v>TBC</v>
      </c>
      <c r="J102" s="84" t="str">
        <f>VLOOKUP(91,'Predictions &amp; Results'!$D$12:$Z$115,7,FALSE())</f>
        <v>TBC</v>
      </c>
      <c r="K102" s="105" t="str">
        <f>VLOOKUP(91,'Predictions &amp; Results'!$D$12:$Z$115,9,FALSE())</f>
        <v>East Rutherford (NY/NJ)</v>
      </c>
      <c r="L102" s="105" t="s">
        <v>28</v>
      </c>
      <c r="M102" s="106" t="str">
        <f>VLOOKUP(91,'Predictions &amp; Results'!$D$12:$Z$115,19,FALSE())</f>
        <v>BBC / ITV (TBC)</v>
      </c>
      <c r="N102" s="24" t="str">
        <f>VLOOKUP(91,'Predictions &amp; Results'!$D$12:$Z$115,18,FALSE())</f>
        <v/>
      </c>
      <c r="O102" s="195"/>
      <c r="P102" s="21"/>
      <c r="Q102" s="21"/>
      <c r="R102" s="21"/>
      <c r="S102" s="21"/>
      <c r="T102" s="21"/>
      <c r="U102" s="23"/>
      <c r="V102" s="23"/>
      <c r="W102" s="23"/>
      <c r="X102" s="23"/>
      <c r="Y102" s="23"/>
      <c r="Z102" s="23"/>
      <c r="AA102" s="23"/>
      <c r="AB102" s="23"/>
      <c r="AC102" s="23"/>
      <c r="AD102" s="23"/>
    </row>
    <row r="103" spans="2:30" ht="16.5" customHeight="1">
      <c r="B103" s="25"/>
      <c r="C103" s="192"/>
      <c r="D103" s="106">
        <v>92</v>
      </c>
      <c r="E103" s="83" t="str">
        <f>VLOOKUP(92,'Predictions &amp; Results'!$D$12:$Z$115,2,FALSE())</f>
        <v>6 Jul</v>
      </c>
      <c r="F103" s="83" t="str">
        <f>VLOOKUP(92,'Predictions &amp; Results'!$D$12:$Z$115,3,FALSE())</f>
        <v>Mon</v>
      </c>
      <c r="G103" s="83" t="str">
        <f>VLOOKUP(92,'Predictions &amp; Results'!$D$12:$Z$115,4,FALSE())</f>
        <v>01:00</v>
      </c>
      <c r="H103" s="106" t="s">
        <v>84</v>
      </c>
      <c r="I103" s="84" t="str">
        <f>VLOOKUP(92,'Predictions &amp; Results'!$D$12:$Z$115,6,FALSE())</f>
        <v>TBC</v>
      </c>
      <c r="J103" s="84" t="str">
        <f>VLOOKUP(92,'Predictions &amp; Results'!$D$12:$Z$115,7,FALSE())</f>
        <v>TBC</v>
      </c>
      <c r="K103" s="105" t="str">
        <f>VLOOKUP(92,'Predictions &amp; Results'!$D$12:$Z$115,9,FALSE())</f>
        <v>Mexico City</v>
      </c>
      <c r="L103" s="105" t="s">
        <v>10</v>
      </c>
      <c r="M103" s="106" t="str">
        <f>VLOOKUP(92,'Predictions &amp; Results'!$D$12:$Z$115,19,FALSE())</f>
        <v>BBC / ITV (TBC)</v>
      </c>
      <c r="N103" s="24" t="str">
        <f>VLOOKUP(92,'Predictions &amp; Results'!$D$12:$Z$115,18,FALSE())</f>
        <v/>
      </c>
      <c r="O103" s="195"/>
      <c r="P103" s="21"/>
      <c r="Q103" s="21"/>
      <c r="R103" s="21"/>
      <c r="S103" s="21"/>
      <c r="T103" s="21"/>
      <c r="U103" s="23"/>
      <c r="V103" s="23"/>
      <c r="W103" s="23"/>
      <c r="X103" s="23"/>
      <c r="Y103" s="23"/>
      <c r="Z103" s="23"/>
      <c r="AA103" s="23"/>
      <c r="AB103" s="23"/>
      <c r="AC103" s="23"/>
      <c r="AD103" s="23"/>
    </row>
    <row r="104" spans="2:30" ht="16.5" customHeight="1">
      <c r="B104" s="25"/>
      <c r="C104" s="192"/>
      <c r="D104" s="106">
        <v>93</v>
      </c>
      <c r="E104" s="83" t="str">
        <f>VLOOKUP(93,'Predictions &amp; Results'!$D$12:$Z$115,2,FALSE())</f>
        <v>6 Jul</v>
      </c>
      <c r="F104" s="83" t="str">
        <f>VLOOKUP(93,'Predictions &amp; Results'!$D$12:$Z$115,3,FALSE())</f>
        <v>Mon</v>
      </c>
      <c r="G104" s="83" t="str">
        <f>VLOOKUP(93,'Predictions &amp; Results'!$D$12:$Z$115,4,FALSE())</f>
        <v>20:00</v>
      </c>
      <c r="H104" s="106" t="s">
        <v>84</v>
      </c>
      <c r="I104" s="84" t="str">
        <f>VLOOKUP(93,'Predictions &amp; Results'!$D$12:$Z$115,6,FALSE())</f>
        <v>TBC</v>
      </c>
      <c r="J104" s="84" t="str">
        <f>VLOOKUP(93,'Predictions &amp; Results'!$D$12:$Z$115,7,FALSE())</f>
        <v>TBC</v>
      </c>
      <c r="K104" s="105" t="str">
        <f>VLOOKUP(93,'Predictions &amp; Results'!$D$12:$Z$115,9,FALSE())</f>
        <v>Arlington (Dallas)</v>
      </c>
      <c r="L104" s="105" t="s">
        <v>42</v>
      </c>
      <c r="M104" s="106" t="str">
        <f>VLOOKUP(93,'Predictions &amp; Results'!$D$12:$Z$115,19,FALSE())</f>
        <v>BBC / ITV (TBC)</v>
      </c>
      <c r="N104" s="24" t="str">
        <f>VLOOKUP(93,'Predictions &amp; Results'!$D$12:$Z$115,18,FALSE())</f>
        <v/>
      </c>
      <c r="O104" s="195"/>
      <c r="P104" s="21"/>
      <c r="Q104" s="21"/>
      <c r="R104" s="21"/>
      <c r="S104" s="21"/>
      <c r="T104" s="21"/>
      <c r="U104" s="23"/>
      <c r="V104" s="23"/>
      <c r="W104" s="23"/>
      <c r="X104" s="23"/>
      <c r="Y104" s="23"/>
      <c r="Z104" s="23"/>
      <c r="AA104" s="23"/>
      <c r="AB104" s="23"/>
      <c r="AC104" s="23"/>
      <c r="AD104" s="23"/>
    </row>
    <row r="105" spans="2:30" ht="16.5" customHeight="1">
      <c r="B105" s="25"/>
      <c r="C105" s="192"/>
      <c r="D105" s="106">
        <v>94</v>
      </c>
      <c r="E105" s="83" t="str">
        <f>VLOOKUP(94,'Predictions &amp; Results'!$D$12:$Z$115,2,FALSE())</f>
        <v>7 Jul</v>
      </c>
      <c r="F105" s="83" t="str">
        <f>VLOOKUP(94,'Predictions &amp; Results'!$D$12:$Z$115,3,FALSE())</f>
        <v>Tue</v>
      </c>
      <c r="G105" s="83" t="str">
        <f>VLOOKUP(94,'Predictions &amp; Results'!$D$12:$Z$115,4,FALSE())</f>
        <v>01:00</v>
      </c>
      <c r="H105" s="106" t="s">
        <v>84</v>
      </c>
      <c r="I105" s="84" t="str">
        <f>VLOOKUP(94,'Predictions &amp; Results'!$D$12:$Z$115,6,FALSE())</f>
        <v>TBC</v>
      </c>
      <c r="J105" s="84" t="str">
        <f>VLOOKUP(94,'Predictions &amp; Results'!$D$12:$Z$115,7,FALSE())</f>
        <v>TBC</v>
      </c>
      <c r="K105" s="105" t="str">
        <f>VLOOKUP(94,'Predictions &amp; Results'!$D$12:$Z$115,9,FALSE())</f>
        <v>Seattle</v>
      </c>
      <c r="L105" s="105" t="s">
        <v>56</v>
      </c>
      <c r="M105" s="106" t="str">
        <f>VLOOKUP(94,'Predictions &amp; Results'!$D$12:$Z$115,19,FALSE())</f>
        <v>BBC / ITV (TBC)</v>
      </c>
      <c r="N105" s="24" t="str">
        <f>VLOOKUP(94,'Predictions &amp; Results'!$D$12:$Z$115,18,FALSE())</f>
        <v/>
      </c>
      <c r="O105" s="195"/>
      <c r="P105" s="21"/>
      <c r="Q105" s="21"/>
      <c r="R105" s="21"/>
      <c r="S105" s="21"/>
      <c r="T105" s="21"/>
      <c r="U105" s="23"/>
      <c r="V105" s="23"/>
      <c r="W105" s="23"/>
      <c r="X105" s="23"/>
      <c r="Y105" s="23"/>
      <c r="Z105" s="23"/>
      <c r="AA105" s="23"/>
      <c r="AB105" s="23"/>
      <c r="AC105" s="23"/>
      <c r="AD105" s="23"/>
    </row>
    <row r="106" spans="2:30" ht="16.5" customHeight="1">
      <c r="B106" s="25"/>
      <c r="C106" s="192"/>
      <c r="D106" s="106">
        <v>95</v>
      </c>
      <c r="E106" s="83" t="str">
        <f>VLOOKUP(95,'Predictions &amp; Results'!$D$12:$Z$115,2,FALSE())</f>
        <v>7 Jul</v>
      </c>
      <c r="F106" s="83" t="str">
        <f>VLOOKUP(95,'Predictions &amp; Results'!$D$12:$Z$115,3,FALSE())</f>
        <v>Tue</v>
      </c>
      <c r="G106" s="83" t="str">
        <f>VLOOKUP(95,'Predictions &amp; Results'!$D$12:$Z$115,4,FALSE())</f>
        <v>17:00</v>
      </c>
      <c r="H106" s="106" t="s">
        <v>84</v>
      </c>
      <c r="I106" s="84" t="str">
        <f>VLOOKUP(95,'Predictions &amp; Results'!$D$12:$Z$115,6,FALSE())</f>
        <v>TBC</v>
      </c>
      <c r="J106" s="84" t="str">
        <f>VLOOKUP(95,'Predictions &amp; Results'!$D$12:$Z$115,7,FALSE())</f>
        <v>TBC</v>
      </c>
      <c r="K106" s="105" t="str">
        <f>VLOOKUP(95,'Predictions &amp; Results'!$D$12:$Z$115,9,FALSE())</f>
        <v>Atlanta</v>
      </c>
      <c r="L106" s="105" t="s">
        <v>52</v>
      </c>
      <c r="M106" s="106" t="str">
        <f>VLOOKUP(95,'Predictions &amp; Results'!$D$12:$Z$115,19,FALSE())</f>
        <v>BBC / ITV (TBC)</v>
      </c>
      <c r="N106" s="24" t="str">
        <f>VLOOKUP(95,'Predictions &amp; Results'!$D$12:$Z$115,18,FALSE())</f>
        <v/>
      </c>
      <c r="O106" s="195"/>
      <c r="P106" s="21"/>
      <c r="Q106" s="21"/>
      <c r="R106" s="21"/>
      <c r="S106" s="21"/>
      <c r="T106" s="21"/>
      <c r="U106" s="23"/>
      <c r="V106" s="23"/>
      <c r="W106" s="23"/>
      <c r="X106" s="23"/>
      <c r="Y106" s="23"/>
      <c r="Z106" s="23"/>
      <c r="AA106" s="23"/>
      <c r="AB106" s="23"/>
      <c r="AC106" s="23"/>
      <c r="AD106" s="23"/>
    </row>
    <row r="107" spans="2:30" ht="16.5" customHeight="1">
      <c r="B107" s="25"/>
      <c r="C107" s="192"/>
      <c r="D107" s="106">
        <v>96</v>
      </c>
      <c r="E107" s="83" t="str">
        <f>VLOOKUP(96,'Predictions &amp; Results'!$D$12:$Z$115,2,FALSE())</f>
        <v>7 Jul</v>
      </c>
      <c r="F107" s="83" t="str">
        <f>VLOOKUP(96,'Predictions &amp; Results'!$D$12:$Z$115,3,FALSE())</f>
        <v>Tue</v>
      </c>
      <c r="G107" s="83" t="str">
        <f>VLOOKUP(96,'Predictions &amp; Results'!$D$12:$Z$115,4,FALSE())</f>
        <v>21:00</v>
      </c>
      <c r="H107" s="106" t="s">
        <v>84</v>
      </c>
      <c r="I107" s="84" t="str">
        <f>VLOOKUP(96,'Predictions &amp; Results'!$D$12:$Z$115,6,FALSE())</f>
        <v>TBC</v>
      </c>
      <c r="J107" s="84" t="str">
        <f>VLOOKUP(96,'Predictions &amp; Results'!$D$12:$Z$115,7,FALSE())</f>
        <v>TBC</v>
      </c>
      <c r="K107" s="105" t="str">
        <f>VLOOKUP(96,'Predictions &amp; Results'!$D$12:$Z$115,9,FALSE())</f>
        <v>Vancouver</v>
      </c>
      <c r="L107" s="105" t="s">
        <v>34</v>
      </c>
      <c r="M107" s="106" t="str">
        <f>VLOOKUP(96,'Predictions &amp; Results'!$D$12:$Z$115,19,FALSE())</f>
        <v>BBC / ITV (TBC)</v>
      </c>
      <c r="N107" s="24" t="str">
        <f>VLOOKUP(96,'Predictions &amp; Results'!$D$12:$Z$115,18,FALSE())</f>
        <v/>
      </c>
      <c r="O107" s="195"/>
      <c r="P107" s="21"/>
      <c r="Q107" s="21"/>
      <c r="R107" s="21"/>
      <c r="S107" s="21"/>
      <c r="T107" s="21"/>
      <c r="U107" s="23"/>
      <c r="V107" s="23"/>
      <c r="W107" s="23"/>
      <c r="X107" s="23"/>
      <c r="Y107" s="23"/>
      <c r="Z107" s="23"/>
      <c r="AA107" s="23"/>
      <c r="AB107" s="23"/>
      <c r="AC107" s="23"/>
      <c r="AD107" s="23"/>
    </row>
    <row r="108" spans="2:30" ht="16.5" customHeight="1">
      <c r="B108" s="25"/>
      <c r="C108" s="192"/>
      <c r="D108" s="106">
        <v>97</v>
      </c>
      <c r="E108" s="83" t="str">
        <f>VLOOKUP(97,'Predictions &amp; Results'!$D$12:$Z$115,2,FALSE())</f>
        <v>9 Jul</v>
      </c>
      <c r="F108" s="83" t="str">
        <f>VLOOKUP(97,'Predictions &amp; Results'!$D$12:$Z$115,3,FALSE())</f>
        <v>Thu</v>
      </c>
      <c r="G108" s="83" t="str">
        <f>VLOOKUP(97,'Predictions &amp; Results'!$D$12:$Z$115,4,FALSE())</f>
        <v>21:00</v>
      </c>
      <c r="H108" s="106" t="s">
        <v>85</v>
      </c>
      <c r="I108" s="84" t="str">
        <f>VLOOKUP(97,'Predictions &amp; Results'!$D$12:$Z$115,6,FALSE())</f>
        <v>TBC</v>
      </c>
      <c r="J108" s="84" t="str">
        <f>VLOOKUP(97,'Predictions &amp; Results'!$D$12:$Z$115,7,FALSE())</f>
        <v>TBC</v>
      </c>
      <c r="K108" s="105" t="str">
        <f>VLOOKUP(97,'Predictions &amp; Results'!$D$12:$Z$115,9,FALSE())</f>
        <v>Foxborough (Boston)</v>
      </c>
      <c r="L108" s="105" t="s">
        <v>31</v>
      </c>
      <c r="M108" s="106" t="str">
        <f>VLOOKUP(97,'Predictions &amp; Results'!$D$12:$Z$115,19,FALSE())</f>
        <v>BBC / ITV (TBC)</v>
      </c>
      <c r="N108" s="24" t="str">
        <f>VLOOKUP(97,'Predictions &amp; Results'!$D$12:$Z$115,18,FALSE())</f>
        <v/>
      </c>
      <c r="O108" s="195"/>
      <c r="P108" s="21"/>
      <c r="Q108" s="21"/>
      <c r="R108" s="21"/>
      <c r="S108" s="21"/>
      <c r="T108" s="21"/>
      <c r="U108" s="23"/>
      <c r="V108" s="23"/>
      <c r="W108" s="23"/>
      <c r="X108" s="23"/>
      <c r="Y108" s="23"/>
      <c r="Z108" s="23"/>
      <c r="AA108" s="23"/>
      <c r="AB108" s="23"/>
      <c r="AC108" s="23"/>
      <c r="AD108" s="23"/>
    </row>
    <row r="109" spans="2:30" ht="16.5" customHeight="1">
      <c r="B109" s="25"/>
      <c r="C109" s="192"/>
      <c r="D109" s="106">
        <v>98</v>
      </c>
      <c r="E109" s="83" t="str">
        <f>VLOOKUP(98,'Predictions &amp; Results'!$D$12:$Z$115,2,FALSE())</f>
        <v>10 Jul</v>
      </c>
      <c r="F109" s="83" t="str">
        <f>VLOOKUP(98,'Predictions &amp; Results'!$D$12:$Z$115,3,FALSE())</f>
        <v>Fri</v>
      </c>
      <c r="G109" s="83" t="str">
        <f>VLOOKUP(98,'Predictions &amp; Results'!$D$12:$Z$115,4,FALSE())</f>
        <v>20:00</v>
      </c>
      <c r="H109" s="106" t="s">
        <v>85</v>
      </c>
      <c r="I109" s="84" t="str">
        <f>VLOOKUP(98,'Predictions &amp; Results'!$D$12:$Z$115,6,FALSE())</f>
        <v>TBC</v>
      </c>
      <c r="J109" s="84" t="str">
        <f>VLOOKUP(98,'Predictions &amp; Results'!$D$12:$Z$115,7,FALSE())</f>
        <v>TBC</v>
      </c>
      <c r="K109" s="105" t="str">
        <f>VLOOKUP(98,'Predictions &amp; Results'!$D$12:$Z$115,9,FALSE())</f>
        <v>Inglewood (Los Angeles)</v>
      </c>
      <c r="L109" s="105" t="s">
        <v>21</v>
      </c>
      <c r="M109" s="106" t="str">
        <f>VLOOKUP(98,'Predictions &amp; Results'!$D$12:$Z$115,19,FALSE())</f>
        <v>BBC / ITV (TBC)</v>
      </c>
      <c r="N109" s="24" t="str">
        <f>VLOOKUP(98,'Predictions &amp; Results'!$D$12:$Z$115,18,FALSE())</f>
        <v/>
      </c>
      <c r="O109" s="195"/>
      <c r="P109" s="21"/>
      <c r="Q109" s="21"/>
      <c r="R109" s="21"/>
      <c r="S109" s="21"/>
      <c r="T109" s="21"/>
      <c r="U109" s="23"/>
      <c r="V109" s="23"/>
      <c r="W109" s="23"/>
      <c r="X109" s="23"/>
      <c r="Y109" s="23"/>
      <c r="Z109" s="23"/>
      <c r="AA109" s="23"/>
      <c r="AB109" s="23"/>
      <c r="AC109" s="23"/>
      <c r="AD109" s="23"/>
    </row>
    <row r="110" spans="2:30" ht="16.5" customHeight="1">
      <c r="B110" s="25"/>
      <c r="C110" s="192"/>
      <c r="D110" s="106">
        <v>99</v>
      </c>
      <c r="E110" s="83" t="str">
        <f>VLOOKUP(99,'Predictions &amp; Results'!$D$12:$Z$115,2,FALSE())</f>
        <v>11 Jul</v>
      </c>
      <c r="F110" s="83" t="str">
        <f>VLOOKUP(99,'Predictions &amp; Results'!$D$12:$Z$115,3,FALSE())</f>
        <v>Sat</v>
      </c>
      <c r="G110" s="83" t="str">
        <f>VLOOKUP(99,'Predictions &amp; Results'!$D$12:$Z$115,4,FALSE())</f>
        <v>22:00</v>
      </c>
      <c r="H110" s="106" t="s">
        <v>85</v>
      </c>
      <c r="I110" s="84" t="str">
        <f>VLOOKUP(99,'Predictions &amp; Results'!$D$12:$Z$115,6,FALSE())</f>
        <v>TBC</v>
      </c>
      <c r="J110" s="84" t="str">
        <f>VLOOKUP(99,'Predictions &amp; Results'!$D$12:$Z$115,7,FALSE())</f>
        <v>TBC</v>
      </c>
      <c r="K110" s="105" t="str">
        <f>VLOOKUP(99,'Predictions &amp; Results'!$D$12:$Z$115,9,FALSE())</f>
        <v>Miami Gardens</v>
      </c>
      <c r="L110" s="105" t="s">
        <v>59</v>
      </c>
      <c r="M110" s="106" t="str">
        <f>VLOOKUP(99,'Predictions &amp; Results'!$D$12:$Z$115,19,FALSE())</f>
        <v>BBC / ITV (TBC)</v>
      </c>
      <c r="N110" s="24" t="str">
        <f>VLOOKUP(99,'Predictions &amp; Results'!$D$12:$Z$115,18,FALSE())</f>
        <v/>
      </c>
      <c r="O110" s="195"/>
      <c r="P110" s="21"/>
      <c r="Q110" s="21"/>
      <c r="R110" s="21"/>
      <c r="S110" s="21"/>
      <c r="T110" s="21"/>
      <c r="U110" s="23"/>
      <c r="V110" s="23"/>
      <c r="W110" s="23"/>
      <c r="X110" s="23"/>
      <c r="Y110" s="23"/>
      <c r="Z110" s="23"/>
      <c r="AA110" s="23"/>
      <c r="AB110" s="23"/>
      <c r="AC110" s="23"/>
      <c r="AD110" s="23"/>
    </row>
    <row r="111" spans="2:30" ht="16.5" customHeight="1">
      <c r="B111" s="25"/>
      <c r="C111" s="192"/>
      <c r="D111" s="106">
        <v>100</v>
      </c>
      <c r="E111" s="83" t="str">
        <f>VLOOKUP(100,'Predictions &amp; Results'!$D$12:$Z$115,2,FALSE())</f>
        <v>12 Jul</v>
      </c>
      <c r="F111" s="83" t="str">
        <f>VLOOKUP(100,'Predictions &amp; Results'!$D$12:$Z$115,3,FALSE())</f>
        <v>Sun</v>
      </c>
      <c r="G111" s="83" t="str">
        <f>VLOOKUP(100,'Predictions &amp; Results'!$D$12:$Z$115,4,FALSE())</f>
        <v>02:00</v>
      </c>
      <c r="H111" s="106" t="s">
        <v>85</v>
      </c>
      <c r="I111" s="84" t="str">
        <f>VLOOKUP(100,'Predictions &amp; Results'!$D$12:$Z$115,6,FALSE())</f>
        <v>TBC</v>
      </c>
      <c r="J111" s="84" t="str">
        <f>VLOOKUP(100,'Predictions &amp; Results'!$D$12:$Z$115,7,FALSE())</f>
        <v>TBC</v>
      </c>
      <c r="K111" s="105" t="str">
        <f>VLOOKUP(100,'Predictions &amp; Results'!$D$12:$Z$115,9,FALSE())</f>
        <v>Kansas City</v>
      </c>
      <c r="L111" s="105" t="s">
        <v>70</v>
      </c>
      <c r="M111" s="106" t="str">
        <f>VLOOKUP(100,'Predictions &amp; Results'!$D$12:$Z$115,19,FALSE())</f>
        <v>BBC / ITV (TBC)</v>
      </c>
      <c r="N111" s="24" t="str">
        <f>VLOOKUP(100,'Predictions &amp; Results'!$D$12:$Z$115,18,FALSE())</f>
        <v/>
      </c>
      <c r="O111" s="195"/>
      <c r="P111" s="21"/>
      <c r="Q111" s="21"/>
      <c r="R111" s="21"/>
      <c r="S111" s="21"/>
      <c r="T111" s="21"/>
      <c r="U111" s="23"/>
      <c r="V111" s="23"/>
      <c r="W111" s="23"/>
      <c r="X111" s="23"/>
      <c r="Y111" s="23"/>
      <c r="Z111" s="23"/>
      <c r="AA111" s="23"/>
      <c r="AB111" s="23"/>
      <c r="AC111" s="23"/>
      <c r="AD111" s="23"/>
    </row>
    <row r="112" spans="2:30" ht="16.5" customHeight="1">
      <c r="B112" s="25"/>
      <c r="C112" s="192"/>
      <c r="D112" s="106">
        <v>101</v>
      </c>
      <c r="E112" s="83" t="str">
        <f>VLOOKUP(101,'Predictions &amp; Results'!$D$12:$Z$115,2,FALSE())</f>
        <v>14 Jul</v>
      </c>
      <c r="F112" s="83" t="str">
        <f>VLOOKUP(101,'Predictions &amp; Results'!$D$12:$Z$115,3,FALSE())</f>
        <v>Tue</v>
      </c>
      <c r="G112" s="83" t="str">
        <f>VLOOKUP(101,'Predictions &amp; Results'!$D$12:$Z$115,4,FALSE())</f>
        <v>20:00</v>
      </c>
      <c r="H112" s="106" t="s">
        <v>86</v>
      </c>
      <c r="I112" s="84" t="str">
        <f>VLOOKUP(101,'Predictions &amp; Results'!$D$12:$Z$115,6,FALSE())</f>
        <v>TBC</v>
      </c>
      <c r="J112" s="84" t="str">
        <f>VLOOKUP(101,'Predictions &amp; Results'!$D$12:$Z$115,7,FALSE())</f>
        <v>TBC</v>
      </c>
      <c r="K112" s="105" t="str">
        <f>VLOOKUP(101,'Predictions &amp; Results'!$D$12:$Z$115,9,FALSE())</f>
        <v>Arlington (Dallas)</v>
      </c>
      <c r="L112" s="105" t="s">
        <v>42</v>
      </c>
      <c r="M112" s="106" t="str">
        <f>VLOOKUP(101,'Predictions &amp; Results'!$D$12:$Z$115,19,FALSE())</f>
        <v>BBC / ITV (TBC)</v>
      </c>
      <c r="N112" s="24" t="str">
        <f>VLOOKUP(101,'Predictions &amp; Results'!$D$12:$Z$115,18,FALSE())</f>
        <v/>
      </c>
      <c r="O112" s="195"/>
      <c r="P112" s="21"/>
      <c r="Q112" s="21"/>
      <c r="R112" s="21"/>
      <c r="S112" s="21"/>
      <c r="T112" s="21"/>
      <c r="U112" s="23"/>
      <c r="V112" s="23"/>
      <c r="W112" s="23"/>
      <c r="X112" s="23"/>
      <c r="Y112" s="23"/>
      <c r="Z112" s="23"/>
      <c r="AA112" s="23"/>
      <c r="AB112" s="23"/>
      <c r="AC112" s="23"/>
      <c r="AD112" s="23"/>
    </row>
    <row r="113" spans="2:30" ht="16.5" customHeight="1">
      <c r="B113" s="25"/>
      <c r="C113" s="192"/>
      <c r="D113" s="106">
        <v>102</v>
      </c>
      <c r="E113" s="83" t="str">
        <f>VLOOKUP(102,'Predictions &amp; Results'!$D$12:$Z$115,2,FALSE())</f>
        <v>15 Jul</v>
      </c>
      <c r="F113" s="83" t="str">
        <f>VLOOKUP(102,'Predictions &amp; Results'!$D$12:$Z$115,3,FALSE())</f>
        <v>Wed</v>
      </c>
      <c r="G113" s="83" t="str">
        <f>VLOOKUP(102,'Predictions &amp; Results'!$D$12:$Z$115,4,FALSE())</f>
        <v>20:00</v>
      </c>
      <c r="H113" s="106" t="s">
        <v>86</v>
      </c>
      <c r="I113" s="84" t="str">
        <f>VLOOKUP(102,'Predictions &amp; Results'!$D$12:$Z$115,6,FALSE())</f>
        <v>TBC</v>
      </c>
      <c r="J113" s="84" t="str">
        <f>VLOOKUP(102,'Predictions &amp; Results'!$D$12:$Z$115,7,FALSE())</f>
        <v>TBC</v>
      </c>
      <c r="K113" s="105" t="str">
        <f>VLOOKUP(102,'Predictions &amp; Results'!$D$12:$Z$115,9,FALSE())</f>
        <v>Atlanta</v>
      </c>
      <c r="L113" s="105" t="s">
        <v>52</v>
      </c>
      <c r="M113" s="106" t="str">
        <f>VLOOKUP(102,'Predictions &amp; Results'!$D$12:$Z$115,19,FALSE())</f>
        <v>BBC / ITV (TBC)</v>
      </c>
      <c r="N113" s="24" t="str">
        <f>VLOOKUP(102,'Predictions &amp; Results'!$D$12:$Z$115,18,FALSE())</f>
        <v/>
      </c>
      <c r="O113" s="195"/>
      <c r="P113" s="21"/>
      <c r="Q113" s="21"/>
      <c r="R113" s="21"/>
      <c r="S113" s="21"/>
      <c r="T113" s="21"/>
      <c r="U113" s="23"/>
      <c r="V113" s="23"/>
      <c r="W113" s="23"/>
      <c r="X113" s="23"/>
      <c r="Y113" s="23"/>
      <c r="Z113" s="23"/>
      <c r="AA113" s="23"/>
      <c r="AB113" s="23"/>
      <c r="AC113" s="23"/>
      <c r="AD113" s="23"/>
    </row>
    <row r="114" spans="2:30" ht="16.5" customHeight="1">
      <c r="B114" s="25"/>
      <c r="C114" s="192"/>
      <c r="D114" s="106">
        <v>103</v>
      </c>
      <c r="E114" s="83" t="str">
        <f>VLOOKUP(103,'Predictions &amp; Results'!$D$12:$Z$115,2,FALSE())</f>
        <v>18 Jul</v>
      </c>
      <c r="F114" s="83" t="str">
        <f>VLOOKUP(103,'Predictions &amp; Results'!$D$12:$Z$115,3,FALSE())</f>
        <v>Sat</v>
      </c>
      <c r="G114" s="83" t="str">
        <f>VLOOKUP(103,'Predictions &amp; Results'!$D$12:$Z$115,4,FALSE())</f>
        <v>22:00</v>
      </c>
      <c r="H114" s="106" t="s">
        <v>87</v>
      </c>
      <c r="I114" s="84" t="str">
        <f>VLOOKUP(103,'Predictions &amp; Results'!$D$12:$Z$115,6,FALSE())</f>
        <v>TBC</v>
      </c>
      <c r="J114" s="84" t="str">
        <f>VLOOKUP(103,'Predictions &amp; Results'!$D$12:$Z$115,7,FALSE())</f>
        <v>TBC</v>
      </c>
      <c r="K114" s="105" t="str">
        <f>VLOOKUP(103,'Predictions &amp; Results'!$D$12:$Z$115,9,FALSE())</f>
        <v>Miami Gardens</v>
      </c>
      <c r="L114" s="105" t="s">
        <v>59</v>
      </c>
      <c r="M114" s="106" t="str">
        <f>VLOOKUP(103,'Predictions &amp; Results'!$D$12:$Z$115,19,FALSE())</f>
        <v>TBC</v>
      </c>
      <c r="N114" s="24" t="str">
        <f>VLOOKUP(103,'Predictions &amp; Results'!$D$12:$Z$115,18,FALSE())</f>
        <v/>
      </c>
      <c r="O114" s="195"/>
      <c r="P114" s="21"/>
      <c r="Q114" s="21"/>
      <c r="R114" s="21"/>
      <c r="S114" s="21"/>
      <c r="T114" s="21"/>
      <c r="U114" s="23"/>
      <c r="V114" s="23"/>
      <c r="W114" s="23"/>
      <c r="X114" s="23"/>
      <c r="Y114" s="23"/>
      <c r="Z114" s="23"/>
      <c r="AA114" s="23"/>
      <c r="AB114" s="23"/>
      <c r="AC114" s="23"/>
      <c r="AD114" s="23"/>
    </row>
    <row r="115" spans="2:30" ht="16.5" customHeight="1">
      <c r="B115" s="25"/>
      <c r="C115" s="192"/>
      <c r="D115" s="106">
        <v>104</v>
      </c>
      <c r="E115" s="83" t="str">
        <f>VLOOKUP(104,'Predictions &amp; Results'!$D$12:$Z$115,2,FALSE())</f>
        <v>19 Jul</v>
      </c>
      <c r="F115" s="83" t="str">
        <f>VLOOKUP(104,'Predictions &amp; Results'!$D$12:$Z$115,3,FALSE())</f>
        <v>Sun</v>
      </c>
      <c r="G115" s="83" t="str">
        <f>VLOOKUP(104,'Predictions &amp; Results'!$D$12:$Z$115,4,FALSE())</f>
        <v>20:00</v>
      </c>
      <c r="H115" s="106" t="s">
        <v>88</v>
      </c>
      <c r="I115" s="84" t="str">
        <f>VLOOKUP(104,'Predictions &amp; Results'!$D$12:$Z$115,6,FALSE())</f>
        <v>TBC</v>
      </c>
      <c r="J115" s="84" t="str">
        <f>VLOOKUP(104,'Predictions &amp; Results'!$D$12:$Z$115,7,FALSE())</f>
        <v>TBC</v>
      </c>
      <c r="K115" s="105" t="str">
        <f>VLOOKUP(104,'Predictions &amp; Results'!$D$12:$Z$115,9,FALSE())</f>
        <v>East Rutherford (NY/NJ)</v>
      </c>
      <c r="L115" s="105" t="s">
        <v>28</v>
      </c>
      <c r="M115" s="106" t="str">
        <f>VLOOKUP(104,'Predictions &amp; Results'!$D$12:$Z$115,19,FALSE())</f>
        <v>BBC + ITV</v>
      </c>
      <c r="N115" s="24" t="str">
        <f>VLOOKUP(104,'Predictions &amp; Results'!$D$12:$Z$115,18,FALSE())</f>
        <v/>
      </c>
      <c r="O115" s="195"/>
      <c r="P115" s="21"/>
      <c r="Q115" s="21"/>
      <c r="R115" s="21"/>
      <c r="S115" s="21"/>
      <c r="T115" s="21"/>
      <c r="U115" s="23"/>
      <c r="V115" s="23"/>
      <c r="W115" s="23"/>
      <c r="X115" s="23"/>
      <c r="Y115" s="23"/>
      <c r="Z115" s="23"/>
      <c r="AA115" s="23"/>
      <c r="AB115" s="23"/>
      <c r="AC115" s="23"/>
      <c r="AD115" s="23"/>
    </row>
    <row r="116" spans="2:30" ht="7.5" customHeight="1">
      <c r="B116" s="236"/>
      <c r="C116" s="236"/>
      <c r="D116" s="235"/>
      <c r="E116" s="235"/>
      <c r="F116" s="235"/>
      <c r="G116" s="235"/>
      <c r="H116" s="235"/>
      <c r="I116" s="235"/>
      <c r="J116" s="235"/>
      <c r="K116" s="235"/>
      <c r="L116" s="235"/>
      <c r="M116" s="235"/>
      <c r="N116" s="26"/>
      <c r="O116" s="234"/>
      <c r="P116" s="234"/>
      <c r="Q116" s="16"/>
      <c r="R116" s="16"/>
      <c r="S116" s="16"/>
      <c r="T116" s="16"/>
      <c r="U116" s="16"/>
      <c r="V116" s="16"/>
      <c r="W116" s="16"/>
      <c r="X116" s="16"/>
      <c r="Y116" s="16"/>
      <c r="Z116" s="16"/>
      <c r="AA116" s="16"/>
      <c r="AB116" s="16"/>
      <c r="AC116" s="16"/>
      <c r="AD116" s="16"/>
    </row>
    <row r="117" spans="2:30" ht="7.5" customHeight="1">
      <c r="B117" s="14"/>
      <c r="C117" s="14"/>
      <c r="D117" s="233"/>
      <c r="E117" s="233"/>
      <c r="F117" s="233"/>
      <c r="G117" s="233"/>
      <c r="H117" s="233"/>
      <c r="I117" s="233"/>
      <c r="J117" s="233"/>
      <c r="K117" s="233"/>
      <c r="L117" s="233"/>
      <c r="M117" s="233"/>
      <c r="N117" s="14"/>
      <c r="O117" s="16"/>
      <c r="P117" s="16"/>
      <c r="Q117" s="16"/>
      <c r="R117" s="16"/>
      <c r="S117" s="16"/>
      <c r="T117" s="16"/>
      <c r="U117" s="16"/>
      <c r="V117" s="16"/>
      <c r="W117" s="16"/>
      <c r="X117" s="16"/>
      <c r="Y117" s="16"/>
      <c r="Z117" s="16"/>
      <c r="AA117" s="16"/>
      <c r="AB117" s="16"/>
      <c r="AC117" s="16"/>
      <c r="AD117" s="16"/>
    </row>
    <row r="118" spans="2:30" ht="15.75" customHeight="1">
      <c r="B118" s="14"/>
      <c r="C118" s="14"/>
      <c r="D118" s="233"/>
      <c r="E118" s="233"/>
      <c r="F118" s="233"/>
      <c r="G118" s="233"/>
      <c r="H118" s="233"/>
      <c r="I118" s="233"/>
      <c r="J118" s="233"/>
      <c r="K118" s="233"/>
      <c r="L118" s="233"/>
      <c r="M118" s="233"/>
      <c r="N118" s="14"/>
      <c r="O118" s="16"/>
      <c r="P118" s="16"/>
      <c r="Q118" s="16"/>
      <c r="R118" s="16"/>
      <c r="S118" s="16"/>
      <c r="T118" s="16"/>
      <c r="U118" s="16"/>
      <c r="V118" s="16"/>
      <c r="W118" s="16"/>
      <c r="X118" s="16"/>
      <c r="Y118" s="16"/>
      <c r="Z118" s="16"/>
      <c r="AA118" s="16"/>
      <c r="AB118" s="16"/>
      <c r="AC118" s="16"/>
      <c r="AD118" s="16"/>
    </row>
    <row r="119" spans="2:30" ht="15.75" customHeight="1">
      <c r="B119" s="14"/>
      <c r="C119" s="14"/>
      <c r="D119" s="233"/>
      <c r="E119" s="233"/>
      <c r="F119" s="233"/>
      <c r="G119" s="233"/>
      <c r="H119" s="233"/>
      <c r="I119" s="233"/>
      <c r="J119" s="233"/>
      <c r="K119" s="233"/>
      <c r="L119" s="233"/>
      <c r="M119" s="233"/>
      <c r="N119" s="14"/>
      <c r="O119" s="16"/>
      <c r="P119" s="16"/>
      <c r="Q119" s="16"/>
      <c r="R119" s="16"/>
      <c r="S119" s="16"/>
      <c r="T119" s="16"/>
      <c r="U119" s="16"/>
      <c r="V119" s="16"/>
      <c r="W119" s="16"/>
      <c r="X119" s="16"/>
      <c r="Y119" s="16"/>
      <c r="Z119" s="16"/>
      <c r="AA119" s="16"/>
      <c r="AB119" s="16"/>
      <c r="AC119" s="16"/>
      <c r="AD119" s="16"/>
    </row>
    <row r="120" spans="2:30" ht="15.75" customHeight="1">
      <c r="B120" s="14"/>
      <c r="C120" s="14"/>
      <c r="D120" s="14"/>
      <c r="E120" s="14"/>
      <c r="F120" s="14"/>
      <c r="G120" s="14"/>
      <c r="H120" s="14"/>
      <c r="I120" s="14"/>
      <c r="J120" s="14"/>
      <c r="K120" s="14"/>
      <c r="L120" s="14"/>
      <c r="M120" s="14"/>
      <c r="N120" s="14"/>
      <c r="O120" s="16"/>
      <c r="P120" s="16"/>
      <c r="Q120" s="16"/>
      <c r="R120" s="16"/>
      <c r="S120" s="16"/>
      <c r="T120" s="16"/>
      <c r="U120" s="16"/>
      <c r="V120" s="16"/>
      <c r="W120" s="16"/>
      <c r="X120" s="16"/>
      <c r="Y120" s="16"/>
      <c r="Z120" s="16"/>
      <c r="AA120" s="16"/>
      <c r="AB120" s="16"/>
      <c r="AC120" s="16"/>
      <c r="AD120" s="16"/>
    </row>
    <row r="121" spans="2:30" ht="15.75" customHeight="1">
      <c r="B121" s="14"/>
      <c r="C121" s="14"/>
      <c r="D121" s="14"/>
      <c r="E121" s="14"/>
      <c r="F121" s="14"/>
      <c r="G121" s="14"/>
      <c r="H121" s="14"/>
      <c r="I121" s="14"/>
      <c r="J121" s="14"/>
      <c r="K121" s="14"/>
      <c r="L121" s="14"/>
      <c r="M121" s="14"/>
      <c r="N121" s="14"/>
      <c r="O121" s="16"/>
      <c r="P121" s="16"/>
      <c r="Q121" s="16"/>
      <c r="R121" s="16"/>
      <c r="S121" s="16"/>
      <c r="T121" s="16"/>
      <c r="U121" s="16"/>
      <c r="V121" s="16"/>
      <c r="W121" s="16"/>
      <c r="X121" s="16"/>
      <c r="Y121" s="16"/>
      <c r="Z121" s="16"/>
      <c r="AA121" s="16"/>
      <c r="AB121" s="16"/>
      <c r="AC121" s="16"/>
      <c r="AD121" s="16"/>
    </row>
    <row r="122" spans="2:30" ht="15.75" customHeight="1">
      <c r="B122" s="14"/>
      <c r="C122" s="14"/>
      <c r="D122" s="14"/>
      <c r="E122" s="14"/>
      <c r="F122" s="14"/>
      <c r="G122" s="14"/>
      <c r="H122" s="14"/>
      <c r="I122" s="14"/>
      <c r="J122" s="14"/>
      <c r="K122" s="14"/>
      <c r="L122" s="14"/>
      <c r="M122" s="14"/>
      <c r="N122" s="14"/>
      <c r="O122" s="16"/>
      <c r="P122" s="16"/>
      <c r="Q122" s="16"/>
      <c r="R122" s="16"/>
      <c r="S122" s="16"/>
      <c r="T122" s="16"/>
      <c r="U122" s="16"/>
      <c r="V122" s="16"/>
      <c r="W122" s="16"/>
      <c r="X122" s="16"/>
      <c r="Y122" s="16"/>
      <c r="Z122" s="16"/>
      <c r="AA122" s="16"/>
      <c r="AB122" s="16"/>
      <c r="AC122" s="16"/>
      <c r="AD122" s="16"/>
    </row>
    <row r="123" spans="2:30" ht="15.75" customHeight="1">
      <c r="B123" s="14"/>
      <c r="C123" s="14"/>
      <c r="D123" s="14"/>
      <c r="E123" s="14"/>
      <c r="F123" s="14"/>
      <c r="G123" s="14"/>
      <c r="H123" s="14"/>
      <c r="I123" s="14"/>
      <c r="J123" s="14"/>
      <c r="K123" s="14"/>
      <c r="L123" s="14"/>
      <c r="M123" s="14"/>
      <c r="N123" s="14"/>
      <c r="O123" s="16"/>
      <c r="P123" s="16"/>
      <c r="Q123" s="16"/>
      <c r="R123" s="16"/>
      <c r="S123" s="16"/>
      <c r="T123" s="16"/>
      <c r="U123" s="16"/>
      <c r="V123" s="16"/>
      <c r="W123" s="16"/>
      <c r="X123" s="16"/>
      <c r="Y123" s="16"/>
      <c r="Z123" s="16"/>
      <c r="AA123" s="16"/>
      <c r="AB123" s="16"/>
      <c r="AC123" s="16"/>
      <c r="AD123" s="16"/>
    </row>
    <row r="124" spans="2:30" ht="15.75" customHeight="1">
      <c r="B124" s="14"/>
      <c r="C124" s="14"/>
      <c r="D124" s="14"/>
      <c r="E124" s="14"/>
      <c r="F124" s="14"/>
      <c r="G124" s="14"/>
      <c r="H124" s="14"/>
      <c r="I124" s="14"/>
      <c r="J124" s="14"/>
      <c r="K124" s="14"/>
      <c r="L124" s="14"/>
      <c r="M124" s="14"/>
      <c r="N124" s="14"/>
      <c r="O124" s="16"/>
      <c r="P124" s="16"/>
      <c r="Q124" s="16"/>
      <c r="R124" s="16"/>
      <c r="S124" s="16"/>
      <c r="T124" s="16"/>
      <c r="U124" s="16"/>
      <c r="V124" s="16"/>
      <c r="W124" s="16"/>
      <c r="X124" s="16"/>
      <c r="Y124" s="16"/>
      <c r="Z124" s="16"/>
      <c r="AA124" s="16"/>
      <c r="AB124" s="16"/>
      <c r="AC124" s="16"/>
      <c r="AD124" s="16"/>
    </row>
    <row r="125" spans="2:30" ht="15.75" customHeight="1">
      <c r="B125" s="14"/>
      <c r="C125" s="14"/>
      <c r="D125" s="14"/>
      <c r="E125" s="14"/>
      <c r="F125" s="14"/>
      <c r="G125" s="14"/>
      <c r="H125" s="14"/>
      <c r="I125" s="14"/>
      <c r="J125" s="14"/>
      <c r="K125" s="14"/>
      <c r="L125" s="14"/>
      <c r="M125" s="14"/>
      <c r="N125" s="14"/>
      <c r="O125" s="16"/>
      <c r="P125" s="16"/>
      <c r="Q125" s="16"/>
      <c r="R125" s="16"/>
      <c r="S125" s="16"/>
      <c r="T125" s="16"/>
      <c r="U125" s="16"/>
      <c r="V125" s="16"/>
      <c r="W125" s="16"/>
      <c r="X125" s="16"/>
      <c r="Y125" s="16"/>
      <c r="Z125" s="16"/>
      <c r="AA125" s="16"/>
      <c r="AB125" s="16"/>
      <c r="AC125" s="16"/>
      <c r="AD125" s="16"/>
    </row>
    <row r="126" spans="2:30" ht="15.75" customHeight="1">
      <c r="B126" s="14"/>
      <c r="C126" s="14"/>
      <c r="D126" s="14"/>
      <c r="E126" s="14"/>
      <c r="F126" s="14"/>
      <c r="G126" s="14"/>
      <c r="H126" s="14"/>
      <c r="I126" s="14"/>
      <c r="J126" s="14"/>
      <c r="K126" s="14"/>
      <c r="L126" s="14"/>
      <c r="M126" s="14"/>
      <c r="N126" s="14"/>
      <c r="O126" s="16"/>
      <c r="P126" s="16"/>
      <c r="Q126" s="16"/>
      <c r="R126" s="16"/>
      <c r="S126" s="16"/>
      <c r="T126" s="16"/>
      <c r="U126" s="16"/>
      <c r="V126" s="16"/>
      <c r="W126" s="16"/>
      <c r="X126" s="16"/>
      <c r="Y126" s="16"/>
      <c r="Z126" s="16"/>
      <c r="AA126" s="16"/>
      <c r="AB126" s="16"/>
      <c r="AC126" s="16"/>
      <c r="AD126" s="16"/>
    </row>
    <row r="127" spans="2:30" ht="15.75" customHeight="1">
      <c r="B127" s="14"/>
      <c r="C127" s="14"/>
      <c r="D127" s="14"/>
      <c r="E127" s="14"/>
      <c r="F127" s="14"/>
      <c r="G127" s="14"/>
      <c r="H127" s="14"/>
      <c r="I127" s="14"/>
      <c r="J127" s="14"/>
      <c r="K127" s="14"/>
      <c r="L127" s="14"/>
      <c r="M127" s="14"/>
      <c r="N127" s="14"/>
      <c r="O127" s="16"/>
      <c r="P127" s="16"/>
      <c r="Q127" s="16"/>
      <c r="R127" s="16"/>
      <c r="S127" s="16"/>
      <c r="T127" s="16"/>
      <c r="U127" s="16"/>
      <c r="V127" s="16"/>
      <c r="W127" s="16"/>
      <c r="X127" s="16"/>
      <c r="Y127" s="16"/>
      <c r="Z127" s="16"/>
      <c r="AA127" s="16"/>
      <c r="AB127" s="16"/>
      <c r="AC127" s="16"/>
      <c r="AD127" s="16"/>
    </row>
    <row r="128" spans="2:30" ht="15.75" customHeight="1">
      <c r="B128" s="14"/>
      <c r="C128" s="14"/>
      <c r="D128" s="14"/>
      <c r="E128" s="14"/>
      <c r="F128" s="14"/>
      <c r="G128" s="14"/>
      <c r="H128" s="14"/>
      <c r="I128" s="14"/>
      <c r="J128" s="14"/>
      <c r="K128" s="14"/>
      <c r="L128" s="14"/>
      <c r="M128" s="14"/>
      <c r="N128" s="14"/>
      <c r="O128" s="16"/>
      <c r="P128" s="16"/>
      <c r="Q128" s="16"/>
      <c r="R128" s="16"/>
      <c r="S128" s="16"/>
      <c r="T128" s="16"/>
      <c r="U128" s="16"/>
      <c r="V128" s="16"/>
      <c r="W128" s="16"/>
      <c r="X128" s="16"/>
      <c r="Y128" s="16"/>
      <c r="Z128" s="16"/>
      <c r="AA128" s="16"/>
      <c r="AB128" s="16"/>
      <c r="AC128" s="16"/>
      <c r="AD128" s="16"/>
    </row>
    <row r="129" spans="2:30" ht="15.75" customHeight="1">
      <c r="B129" s="14"/>
      <c r="C129" s="14"/>
      <c r="D129" s="14"/>
      <c r="E129" s="14"/>
      <c r="F129" s="14"/>
      <c r="G129" s="14"/>
      <c r="H129" s="14"/>
      <c r="I129" s="14"/>
      <c r="J129" s="14"/>
      <c r="K129" s="14"/>
      <c r="L129" s="14"/>
      <c r="M129" s="14"/>
      <c r="N129" s="14"/>
      <c r="O129" s="16"/>
      <c r="P129" s="16"/>
      <c r="Q129" s="16"/>
      <c r="R129" s="16"/>
      <c r="S129" s="16"/>
      <c r="T129" s="16"/>
      <c r="U129" s="16"/>
      <c r="V129" s="16"/>
      <c r="W129" s="16"/>
      <c r="X129" s="16"/>
      <c r="Y129" s="16"/>
      <c r="Z129" s="16"/>
      <c r="AA129" s="16"/>
      <c r="AB129" s="16"/>
      <c r="AC129" s="16"/>
      <c r="AD129" s="16"/>
    </row>
    <row r="130" spans="2:30" ht="15.75" customHeight="1">
      <c r="B130" s="14"/>
      <c r="C130" s="14"/>
      <c r="D130" s="14"/>
      <c r="E130" s="14"/>
      <c r="F130" s="14"/>
      <c r="G130" s="14"/>
      <c r="H130" s="14"/>
      <c r="I130" s="14"/>
      <c r="J130" s="14"/>
      <c r="K130" s="14"/>
      <c r="L130" s="14"/>
      <c r="M130" s="14"/>
      <c r="N130" s="14"/>
      <c r="O130" s="16"/>
      <c r="P130" s="16"/>
      <c r="Q130" s="16"/>
      <c r="R130" s="16"/>
      <c r="S130" s="16"/>
      <c r="T130" s="16"/>
      <c r="U130" s="16"/>
      <c r="V130" s="16"/>
      <c r="W130" s="16"/>
      <c r="X130" s="16"/>
      <c r="Y130" s="16"/>
      <c r="Z130" s="16"/>
      <c r="AA130" s="16"/>
      <c r="AB130" s="16"/>
      <c r="AC130" s="16"/>
      <c r="AD130" s="16"/>
    </row>
    <row r="131" spans="2:30" ht="15.75" customHeight="1">
      <c r="B131" s="14"/>
      <c r="C131" s="14"/>
      <c r="D131" s="14"/>
      <c r="E131" s="14"/>
      <c r="F131" s="14"/>
      <c r="G131" s="14"/>
      <c r="H131" s="14"/>
      <c r="I131" s="14"/>
      <c r="J131" s="14"/>
      <c r="K131" s="14"/>
      <c r="L131" s="14"/>
      <c r="M131" s="14"/>
      <c r="N131" s="14"/>
      <c r="O131" s="16"/>
      <c r="P131" s="16"/>
      <c r="Q131" s="16"/>
      <c r="R131" s="16"/>
      <c r="S131" s="16"/>
      <c r="T131" s="16"/>
      <c r="U131" s="16"/>
      <c r="V131" s="16"/>
      <c r="W131" s="16"/>
      <c r="X131" s="16"/>
      <c r="Y131" s="16"/>
      <c r="Z131" s="16"/>
      <c r="AA131" s="16"/>
      <c r="AB131" s="16"/>
      <c r="AC131" s="16"/>
      <c r="AD131" s="16"/>
    </row>
    <row r="132" spans="2:30" ht="15.75" customHeight="1">
      <c r="B132" s="14"/>
      <c r="C132" s="14"/>
      <c r="D132" s="14"/>
      <c r="E132" s="14"/>
      <c r="F132" s="14"/>
      <c r="G132" s="14"/>
      <c r="H132" s="14"/>
      <c r="I132" s="14"/>
      <c r="J132" s="14"/>
      <c r="K132" s="14"/>
      <c r="L132" s="14"/>
      <c r="M132" s="14"/>
      <c r="N132" s="14"/>
      <c r="O132" s="16"/>
      <c r="P132" s="16"/>
      <c r="Q132" s="16"/>
      <c r="R132" s="16"/>
      <c r="S132" s="16"/>
      <c r="T132" s="16"/>
      <c r="U132" s="16"/>
      <c r="V132" s="16"/>
      <c r="W132" s="16"/>
      <c r="X132" s="16"/>
      <c r="Y132" s="16"/>
      <c r="Z132" s="16"/>
      <c r="AA132" s="16"/>
      <c r="AB132" s="16"/>
      <c r="AC132" s="16"/>
      <c r="AD132" s="16"/>
    </row>
    <row r="133" spans="2:30" ht="15.75" customHeight="1">
      <c r="B133" s="14"/>
      <c r="C133" s="14"/>
      <c r="D133" s="14"/>
      <c r="E133" s="14"/>
      <c r="F133" s="14"/>
      <c r="G133" s="14"/>
      <c r="H133" s="14"/>
      <c r="I133" s="14"/>
      <c r="J133" s="14"/>
      <c r="K133" s="14"/>
      <c r="L133" s="14"/>
      <c r="M133" s="14"/>
      <c r="N133" s="14"/>
      <c r="O133" s="16"/>
      <c r="P133" s="16"/>
      <c r="Q133" s="16"/>
      <c r="R133" s="16"/>
      <c r="S133" s="16"/>
      <c r="T133" s="16"/>
      <c r="U133" s="16"/>
      <c r="V133" s="16"/>
      <c r="W133" s="16"/>
      <c r="X133" s="16"/>
      <c r="Y133" s="16"/>
      <c r="Z133" s="16"/>
      <c r="AA133" s="16"/>
      <c r="AB133" s="16"/>
      <c r="AC133" s="16"/>
      <c r="AD133" s="16"/>
    </row>
    <row r="134" spans="2:30" ht="15.75" customHeight="1">
      <c r="B134" s="14"/>
      <c r="C134" s="14"/>
      <c r="D134" s="14"/>
      <c r="E134" s="14"/>
      <c r="F134" s="14"/>
      <c r="G134" s="14"/>
      <c r="H134" s="14"/>
      <c r="I134" s="14"/>
      <c r="J134" s="14"/>
      <c r="K134" s="14"/>
      <c r="L134" s="14"/>
      <c r="M134" s="14"/>
      <c r="N134" s="14"/>
      <c r="O134" s="16"/>
      <c r="P134" s="16"/>
      <c r="Q134" s="16"/>
      <c r="R134" s="16"/>
      <c r="S134" s="16"/>
      <c r="T134" s="16"/>
      <c r="U134" s="16"/>
      <c r="V134" s="16"/>
      <c r="W134" s="16"/>
      <c r="X134" s="16"/>
      <c r="Y134" s="16"/>
      <c r="Z134" s="16"/>
      <c r="AA134" s="16"/>
      <c r="AB134" s="16"/>
      <c r="AC134" s="16"/>
      <c r="AD134" s="16"/>
    </row>
    <row r="135" spans="2:30" ht="15.75" customHeight="1">
      <c r="B135" s="14"/>
      <c r="C135" s="14"/>
      <c r="D135" s="14"/>
      <c r="E135" s="14"/>
      <c r="F135" s="14"/>
      <c r="G135" s="14"/>
      <c r="H135" s="14"/>
      <c r="I135" s="14"/>
      <c r="J135" s="14"/>
      <c r="K135" s="14"/>
      <c r="L135" s="14"/>
      <c r="M135" s="14"/>
      <c r="N135" s="14"/>
      <c r="O135" s="16"/>
      <c r="P135" s="16"/>
      <c r="Q135" s="16"/>
      <c r="R135" s="16"/>
      <c r="S135" s="16"/>
      <c r="T135" s="16"/>
      <c r="U135" s="16"/>
      <c r="V135" s="16"/>
      <c r="W135" s="16"/>
      <c r="X135" s="16"/>
      <c r="Y135" s="16"/>
      <c r="Z135" s="16"/>
      <c r="AA135" s="16"/>
      <c r="AB135" s="16"/>
      <c r="AC135" s="16"/>
      <c r="AD135" s="16"/>
    </row>
    <row r="136" spans="2:30" ht="15.75" customHeight="1">
      <c r="B136" s="14"/>
      <c r="C136" s="14"/>
      <c r="D136" s="14"/>
      <c r="E136" s="14"/>
      <c r="F136" s="14"/>
      <c r="G136" s="14"/>
      <c r="H136" s="14"/>
      <c r="I136" s="14"/>
      <c r="J136" s="14"/>
      <c r="K136" s="14"/>
      <c r="L136" s="14"/>
      <c r="M136" s="14"/>
      <c r="N136" s="14"/>
      <c r="O136" s="16"/>
      <c r="P136" s="16"/>
      <c r="Q136" s="16"/>
      <c r="R136" s="16"/>
      <c r="S136" s="16"/>
      <c r="T136" s="16"/>
      <c r="U136" s="16"/>
      <c r="V136" s="16"/>
      <c r="W136" s="16"/>
      <c r="X136" s="16"/>
      <c r="Y136" s="16"/>
      <c r="Z136" s="16"/>
      <c r="AA136" s="16"/>
      <c r="AB136" s="16"/>
      <c r="AC136" s="16"/>
      <c r="AD136" s="16"/>
    </row>
    <row r="137" spans="2:30" ht="15.75" customHeight="1">
      <c r="B137" s="14"/>
      <c r="C137" s="14"/>
      <c r="D137" s="14"/>
      <c r="E137" s="14"/>
      <c r="F137" s="14"/>
      <c r="G137" s="14"/>
      <c r="H137" s="14"/>
      <c r="I137" s="14"/>
      <c r="J137" s="14"/>
      <c r="K137" s="14"/>
      <c r="L137" s="14"/>
      <c r="M137" s="14"/>
      <c r="N137" s="14"/>
      <c r="O137" s="16"/>
      <c r="P137" s="16"/>
      <c r="Q137" s="16"/>
      <c r="R137" s="16"/>
      <c r="S137" s="16"/>
      <c r="T137" s="16"/>
      <c r="U137" s="16"/>
      <c r="V137" s="16"/>
      <c r="W137" s="16"/>
      <c r="X137" s="16"/>
      <c r="Y137" s="16"/>
      <c r="Z137" s="16"/>
      <c r="AA137" s="16"/>
      <c r="AB137" s="16"/>
      <c r="AC137" s="16"/>
      <c r="AD137" s="16"/>
    </row>
    <row r="138" spans="2:30" ht="15.75" customHeight="1">
      <c r="B138" s="14"/>
      <c r="C138" s="14"/>
      <c r="D138" s="14"/>
      <c r="E138" s="14"/>
      <c r="F138" s="14"/>
      <c r="G138" s="14"/>
      <c r="H138" s="14"/>
      <c r="I138" s="14"/>
      <c r="J138" s="14"/>
      <c r="K138" s="14"/>
      <c r="L138" s="14"/>
      <c r="M138" s="14"/>
      <c r="N138" s="14"/>
      <c r="O138" s="16"/>
      <c r="P138" s="16"/>
      <c r="Q138" s="16"/>
      <c r="R138" s="16"/>
      <c r="S138" s="16"/>
      <c r="T138" s="16"/>
      <c r="U138" s="16"/>
      <c r="V138" s="16"/>
      <c r="W138" s="16"/>
      <c r="X138" s="16"/>
      <c r="Y138" s="16"/>
      <c r="Z138" s="16"/>
      <c r="AA138" s="16"/>
      <c r="AB138" s="16"/>
      <c r="AC138" s="16"/>
      <c r="AD138" s="16"/>
    </row>
    <row r="139" spans="2:30" ht="15.75" customHeight="1">
      <c r="B139" s="14"/>
      <c r="C139" s="14"/>
      <c r="D139" s="14"/>
      <c r="E139" s="14"/>
      <c r="F139" s="14"/>
      <c r="G139" s="14"/>
      <c r="H139" s="14"/>
      <c r="I139" s="14"/>
      <c r="J139" s="14"/>
      <c r="K139" s="14"/>
      <c r="L139" s="14"/>
      <c r="M139" s="14"/>
      <c r="N139" s="14"/>
      <c r="O139" s="16"/>
      <c r="P139" s="16"/>
      <c r="Q139" s="16"/>
      <c r="R139" s="16"/>
      <c r="S139" s="16"/>
      <c r="T139" s="16"/>
      <c r="U139" s="16"/>
      <c r="V139" s="16"/>
      <c r="W139" s="16"/>
      <c r="X139" s="16"/>
      <c r="Y139" s="16"/>
      <c r="Z139" s="16"/>
      <c r="AA139" s="16"/>
      <c r="AB139" s="16"/>
      <c r="AC139" s="16"/>
      <c r="AD139" s="16"/>
    </row>
    <row r="140" spans="2:30" ht="15.75" customHeight="1">
      <c r="B140" s="14"/>
      <c r="C140" s="14"/>
      <c r="D140" s="14"/>
      <c r="E140" s="14"/>
      <c r="F140" s="14"/>
      <c r="G140" s="14"/>
      <c r="H140" s="14"/>
      <c r="I140" s="14"/>
      <c r="J140" s="14"/>
      <c r="K140" s="14"/>
      <c r="L140" s="14"/>
      <c r="M140" s="14"/>
      <c r="N140" s="14"/>
      <c r="O140" s="16"/>
      <c r="P140" s="16"/>
      <c r="Q140" s="16"/>
      <c r="R140" s="16"/>
      <c r="S140" s="16"/>
      <c r="T140" s="16"/>
      <c r="U140" s="16"/>
      <c r="V140" s="16"/>
      <c r="W140" s="16"/>
      <c r="X140" s="16"/>
      <c r="Y140" s="16"/>
      <c r="Z140" s="16"/>
      <c r="AA140" s="16"/>
      <c r="AB140" s="16"/>
      <c r="AC140" s="16"/>
      <c r="AD140" s="16"/>
    </row>
    <row r="141" spans="2:30" ht="15.75" customHeight="1">
      <c r="B141" s="14"/>
      <c r="C141" s="14"/>
      <c r="D141" s="14"/>
      <c r="E141" s="14"/>
      <c r="F141" s="14"/>
      <c r="G141" s="14"/>
      <c r="H141" s="14"/>
      <c r="I141" s="14"/>
      <c r="J141" s="14"/>
      <c r="K141" s="14"/>
      <c r="L141" s="14"/>
      <c r="M141" s="14"/>
      <c r="N141" s="14"/>
      <c r="O141" s="16"/>
      <c r="P141" s="16"/>
      <c r="Q141" s="16"/>
      <c r="R141" s="16"/>
      <c r="S141" s="16"/>
      <c r="T141" s="16"/>
      <c r="U141" s="16"/>
      <c r="V141" s="16"/>
      <c r="W141" s="16"/>
      <c r="X141" s="16"/>
      <c r="Y141" s="16"/>
      <c r="Z141" s="16"/>
      <c r="AA141" s="16"/>
      <c r="AB141" s="16"/>
      <c r="AC141" s="16"/>
      <c r="AD141" s="16"/>
    </row>
    <row r="142" spans="2:30" ht="15.75" customHeight="1">
      <c r="B142" s="14"/>
      <c r="C142" s="14"/>
      <c r="D142" s="14"/>
      <c r="E142" s="14"/>
      <c r="F142" s="14"/>
      <c r="G142" s="14"/>
      <c r="H142" s="14"/>
      <c r="I142" s="14"/>
      <c r="J142" s="14"/>
      <c r="K142" s="14"/>
      <c r="L142" s="14"/>
      <c r="M142" s="14"/>
      <c r="N142" s="14"/>
      <c r="O142" s="16"/>
      <c r="P142" s="16"/>
      <c r="Q142" s="16"/>
      <c r="R142" s="16"/>
      <c r="S142" s="16"/>
      <c r="T142" s="16"/>
      <c r="U142" s="16"/>
      <c r="V142" s="16"/>
      <c r="W142" s="16"/>
      <c r="X142" s="16"/>
      <c r="Y142" s="16"/>
      <c r="Z142" s="16"/>
      <c r="AA142" s="16"/>
      <c r="AB142" s="16"/>
      <c r="AC142" s="16"/>
      <c r="AD142" s="16"/>
    </row>
    <row r="143" spans="2:30" ht="15.75" customHeight="1">
      <c r="B143" s="14"/>
      <c r="C143" s="14"/>
      <c r="D143" s="14"/>
      <c r="E143" s="14"/>
      <c r="F143" s="14"/>
      <c r="G143" s="14"/>
      <c r="H143" s="14"/>
      <c r="I143" s="14"/>
      <c r="J143" s="14"/>
      <c r="K143" s="14"/>
      <c r="L143" s="14"/>
      <c r="M143" s="14"/>
      <c r="N143" s="14"/>
      <c r="O143" s="16"/>
      <c r="P143" s="16"/>
      <c r="Q143" s="16"/>
      <c r="R143" s="16"/>
      <c r="S143" s="16"/>
      <c r="T143" s="16"/>
      <c r="U143" s="16"/>
      <c r="V143" s="16"/>
      <c r="W143" s="16"/>
      <c r="X143" s="16"/>
      <c r="Y143" s="16"/>
      <c r="Z143" s="16"/>
      <c r="AA143" s="16"/>
      <c r="AB143" s="16"/>
      <c r="AC143" s="16"/>
      <c r="AD143" s="16"/>
    </row>
    <row r="144" spans="2:30" ht="15.75" customHeight="1">
      <c r="B144" s="14"/>
      <c r="C144" s="14"/>
      <c r="D144" s="14"/>
      <c r="E144" s="14"/>
      <c r="F144" s="14"/>
      <c r="G144" s="14"/>
      <c r="H144" s="14"/>
      <c r="I144" s="14"/>
      <c r="J144" s="14"/>
      <c r="K144" s="14"/>
      <c r="L144" s="14"/>
      <c r="M144" s="14"/>
      <c r="N144" s="14"/>
      <c r="O144" s="16"/>
      <c r="P144" s="16"/>
      <c r="Q144" s="16"/>
      <c r="R144" s="16"/>
      <c r="S144" s="16"/>
      <c r="T144" s="16"/>
      <c r="U144" s="16"/>
      <c r="V144" s="16"/>
      <c r="W144" s="16"/>
      <c r="X144" s="16"/>
      <c r="Y144" s="16"/>
      <c r="Z144" s="16"/>
      <c r="AA144" s="16"/>
      <c r="AB144" s="16"/>
      <c r="AC144" s="16"/>
      <c r="AD144" s="16"/>
    </row>
    <row r="145" spans="2:30" ht="15.75" customHeight="1">
      <c r="B145" s="14"/>
      <c r="C145" s="14"/>
      <c r="D145" s="14"/>
      <c r="E145" s="14"/>
      <c r="F145" s="14"/>
      <c r="G145" s="14"/>
      <c r="H145" s="14"/>
      <c r="I145" s="14"/>
      <c r="J145" s="14"/>
      <c r="K145" s="14"/>
      <c r="L145" s="14"/>
      <c r="M145" s="14"/>
      <c r="N145" s="14"/>
      <c r="O145" s="16"/>
      <c r="P145" s="16"/>
      <c r="Q145" s="16"/>
      <c r="R145" s="16"/>
      <c r="S145" s="16"/>
      <c r="T145" s="16"/>
      <c r="U145" s="16"/>
      <c r="V145" s="16"/>
      <c r="W145" s="16"/>
      <c r="X145" s="16"/>
      <c r="Y145" s="16"/>
      <c r="Z145" s="16"/>
      <c r="AA145" s="16"/>
      <c r="AB145" s="16"/>
      <c r="AC145" s="16"/>
      <c r="AD145" s="16"/>
    </row>
    <row r="146" spans="2:30" ht="15.75" customHeight="1">
      <c r="B146" s="14"/>
      <c r="C146" s="14"/>
      <c r="D146" s="14"/>
      <c r="E146" s="14"/>
      <c r="F146" s="14"/>
      <c r="G146" s="14"/>
      <c r="H146" s="14"/>
      <c r="I146" s="14"/>
      <c r="J146" s="14"/>
      <c r="K146" s="14"/>
      <c r="L146" s="14"/>
      <c r="M146" s="14"/>
      <c r="N146" s="14"/>
      <c r="O146" s="16"/>
      <c r="P146" s="16"/>
      <c r="Q146" s="16"/>
      <c r="R146" s="16"/>
      <c r="S146" s="16"/>
      <c r="T146" s="16"/>
      <c r="U146" s="16"/>
      <c r="V146" s="16"/>
      <c r="W146" s="16"/>
      <c r="X146" s="16"/>
      <c r="Y146" s="16"/>
      <c r="Z146" s="16"/>
      <c r="AA146" s="16"/>
      <c r="AB146" s="16"/>
      <c r="AC146" s="16"/>
      <c r="AD146" s="16"/>
    </row>
    <row r="147" spans="2:30" ht="15.75" customHeight="1">
      <c r="B147" s="14"/>
      <c r="C147" s="14"/>
      <c r="D147" s="14"/>
      <c r="E147" s="14"/>
      <c r="F147" s="14"/>
      <c r="G147" s="14"/>
      <c r="H147" s="14"/>
      <c r="I147" s="14"/>
      <c r="J147" s="14"/>
      <c r="K147" s="14"/>
      <c r="L147" s="14"/>
      <c r="M147" s="14"/>
      <c r="N147" s="14"/>
      <c r="O147" s="16"/>
      <c r="P147" s="16"/>
      <c r="Q147" s="16"/>
      <c r="R147" s="16"/>
      <c r="S147" s="16"/>
      <c r="T147" s="16"/>
      <c r="U147" s="16"/>
      <c r="V147" s="16"/>
      <c r="W147" s="16"/>
      <c r="X147" s="16"/>
      <c r="Y147" s="16"/>
      <c r="Z147" s="16"/>
      <c r="AA147" s="16"/>
      <c r="AB147" s="16"/>
      <c r="AC147" s="16"/>
      <c r="AD147" s="16"/>
    </row>
    <row r="148" spans="2:30" ht="15.75" customHeight="1">
      <c r="B148" s="14"/>
      <c r="C148" s="14"/>
      <c r="D148" s="14"/>
      <c r="E148" s="14"/>
      <c r="F148" s="14"/>
      <c r="G148" s="14"/>
      <c r="H148" s="14"/>
      <c r="I148" s="14"/>
      <c r="J148" s="14"/>
      <c r="K148" s="14"/>
      <c r="L148" s="14"/>
      <c r="M148" s="14"/>
      <c r="N148" s="14"/>
      <c r="O148" s="16"/>
      <c r="P148" s="16"/>
      <c r="Q148" s="16"/>
      <c r="R148" s="16"/>
      <c r="S148" s="16"/>
      <c r="T148" s="16"/>
      <c r="U148" s="16"/>
      <c r="V148" s="16"/>
      <c r="W148" s="16"/>
      <c r="X148" s="16"/>
      <c r="Y148" s="16"/>
      <c r="Z148" s="16"/>
      <c r="AA148" s="16"/>
      <c r="AB148" s="16"/>
      <c r="AC148" s="16"/>
      <c r="AD148" s="16"/>
    </row>
    <row r="149" spans="2:30" ht="15.75" customHeight="1">
      <c r="B149" s="14"/>
      <c r="C149" s="14"/>
      <c r="D149" s="14"/>
      <c r="E149" s="14"/>
      <c r="F149" s="14"/>
      <c r="G149" s="14"/>
      <c r="H149" s="14"/>
      <c r="I149" s="14"/>
      <c r="J149" s="14"/>
      <c r="K149" s="14"/>
      <c r="L149" s="14"/>
      <c r="M149" s="14"/>
      <c r="N149" s="14"/>
      <c r="O149" s="16"/>
      <c r="P149" s="16"/>
      <c r="Q149" s="16"/>
      <c r="R149" s="16"/>
      <c r="S149" s="16"/>
      <c r="T149" s="16"/>
      <c r="U149" s="16"/>
      <c r="V149" s="16"/>
      <c r="W149" s="16"/>
      <c r="X149" s="16"/>
      <c r="Y149" s="16"/>
      <c r="Z149" s="16"/>
      <c r="AA149" s="16"/>
      <c r="AB149" s="16"/>
      <c r="AC149" s="16"/>
      <c r="AD149" s="16"/>
    </row>
    <row r="150" spans="2:30" ht="15.75" customHeight="1">
      <c r="B150" s="14"/>
      <c r="C150" s="14"/>
      <c r="D150" s="14"/>
      <c r="E150" s="14"/>
      <c r="F150" s="14"/>
      <c r="G150" s="14"/>
      <c r="H150" s="14"/>
      <c r="I150" s="14"/>
      <c r="J150" s="14"/>
      <c r="K150" s="14"/>
      <c r="L150" s="14"/>
      <c r="M150" s="14"/>
      <c r="N150" s="14"/>
      <c r="O150" s="16"/>
      <c r="P150" s="16"/>
      <c r="Q150" s="16"/>
      <c r="R150" s="16"/>
      <c r="S150" s="16"/>
      <c r="T150" s="16"/>
      <c r="U150" s="16"/>
      <c r="V150" s="16"/>
      <c r="W150" s="16"/>
      <c r="X150" s="16"/>
      <c r="Y150" s="16"/>
      <c r="Z150" s="16"/>
      <c r="AA150" s="16"/>
      <c r="AB150" s="16"/>
      <c r="AC150" s="16"/>
      <c r="AD150" s="16"/>
    </row>
    <row r="151" spans="2:30" ht="15.75" customHeight="1">
      <c r="B151" s="14"/>
      <c r="C151" s="14"/>
      <c r="D151" s="14"/>
      <c r="E151" s="14"/>
      <c r="F151" s="14"/>
      <c r="G151" s="14"/>
      <c r="H151" s="14"/>
      <c r="I151" s="14"/>
      <c r="J151" s="14"/>
      <c r="K151" s="14"/>
      <c r="L151" s="14"/>
      <c r="M151" s="14"/>
      <c r="N151" s="14"/>
      <c r="O151" s="16"/>
      <c r="P151" s="16"/>
      <c r="Q151" s="16"/>
      <c r="R151" s="16"/>
      <c r="S151" s="16"/>
      <c r="T151" s="16"/>
      <c r="U151" s="16"/>
      <c r="V151" s="16"/>
      <c r="W151" s="16"/>
      <c r="X151" s="16"/>
      <c r="Y151" s="16"/>
      <c r="Z151" s="16"/>
      <c r="AA151" s="16"/>
      <c r="AB151" s="16"/>
      <c r="AC151" s="16"/>
      <c r="AD151" s="16"/>
    </row>
    <row r="152" spans="2:30" ht="15.75" customHeight="1">
      <c r="B152" s="14"/>
      <c r="C152" s="14"/>
      <c r="D152" s="14"/>
      <c r="E152" s="14"/>
      <c r="F152" s="14"/>
      <c r="G152" s="14"/>
      <c r="H152" s="14"/>
      <c r="I152" s="14"/>
      <c r="J152" s="14"/>
      <c r="K152" s="14"/>
      <c r="L152" s="14"/>
      <c r="M152" s="14"/>
      <c r="N152" s="14"/>
      <c r="O152" s="16"/>
      <c r="P152" s="16"/>
      <c r="Q152" s="16"/>
      <c r="R152" s="16"/>
      <c r="S152" s="16"/>
      <c r="T152" s="16"/>
      <c r="U152" s="16"/>
      <c r="V152" s="16"/>
      <c r="W152" s="16"/>
      <c r="X152" s="16"/>
      <c r="Y152" s="16"/>
      <c r="Z152" s="16"/>
      <c r="AA152" s="16"/>
      <c r="AB152" s="16"/>
      <c r="AC152" s="16"/>
      <c r="AD152" s="16"/>
    </row>
    <row r="153" spans="2:30" ht="15.75" customHeight="1">
      <c r="B153" s="14"/>
      <c r="C153" s="14"/>
      <c r="D153" s="14"/>
      <c r="E153" s="14"/>
      <c r="F153" s="14"/>
      <c r="G153" s="14"/>
      <c r="H153" s="14"/>
      <c r="I153" s="14"/>
      <c r="J153" s="14"/>
      <c r="K153" s="14"/>
      <c r="L153" s="14"/>
      <c r="M153" s="14"/>
      <c r="N153" s="14"/>
      <c r="O153" s="16"/>
      <c r="P153" s="16"/>
      <c r="Q153" s="16"/>
      <c r="R153" s="16"/>
      <c r="S153" s="16"/>
      <c r="T153" s="16"/>
      <c r="U153" s="16"/>
      <c r="V153" s="16"/>
      <c r="W153" s="16"/>
      <c r="X153" s="16"/>
      <c r="Y153" s="16"/>
      <c r="Z153" s="16"/>
      <c r="AA153" s="16"/>
      <c r="AB153" s="16"/>
      <c r="AC153" s="16"/>
      <c r="AD153" s="16"/>
    </row>
    <row r="154" spans="2:30" ht="15.75" customHeight="1">
      <c r="B154" s="14"/>
      <c r="C154" s="14"/>
      <c r="D154" s="14"/>
      <c r="E154" s="14"/>
      <c r="F154" s="14"/>
      <c r="G154" s="14"/>
      <c r="H154" s="14"/>
      <c r="I154" s="14"/>
      <c r="J154" s="14"/>
      <c r="K154" s="14"/>
      <c r="L154" s="14"/>
      <c r="M154" s="14"/>
      <c r="N154" s="14"/>
      <c r="O154" s="16"/>
      <c r="P154" s="16"/>
      <c r="Q154" s="16"/>
      <c r="R154" s="16"/>
      <c r="S154" s="16"/>
      <c r="T154" s="16"/>
      <c r="U154" s="16"/>
      <c r="V154" s="16"/>
      <c r="W154" s="16"/>
      <c r="X154" s="16"/>
      <c r="Y154" s="16"/>
      <c r="Z154" s="16"/>
      <c r="AA154" s="16"/>
      <c r="AB154" s="16"/>
      <c r="AC154" s="16"/>
      <c r="AD154" s="16"/>
    </row>
    <row r="155" spans="2:30" ht="15.75" customHeight="1">
      <c r="B155" s="14"/>
      <c r="C155" s="14"/>
      <c r="D155" s="14"/>
      <c r="E155" s="14"/>
      <c r="F155" s="14"/>
      <c r="G155" s="14"/>
      <c r="H155" s="14"/>
      <c r="I155" s="14"/>
      <c r="J155" s="14"/>
      <c r="K155" s="14"/>
      <c r="L155" s="14"/>
      <c r="M155" s="14"/>
      <c r="N155" s="14"/>
      <c r="O155" s="16"/>
      <c r="P155" s="16"/>
      <c r="Q155" s="16"/>
      <c r="R155" s="16"/>
      <c r="S155" s="16"/>
      <c r="T155" s="16"/>
      <c r="U155" s="16"/>
      <c r="V155" s="16"/>
      <c r="W155" s="16"/>
      <c r="X155" s="16"/>
      <c r="Y155" s="16"/>
      <c r="Z155" s="16"/>
      <c r="AA155" s="16"/>
      <c r="AB155" s="16"/>
      <c r="AC155" s="16"/>
      <c r="AD155" s="16"/>
    </row>
    <row r="156" spans="2:30" ht="15.75" customHeight="1">
      <c r="B156" s="14"/>
      <c r="C156" s="14"/>
      <c r="D156" s="14"/>
      <c r="E156" s="14"/>
      <c r="F156" s="14"/>
      <c r="G156" s="14"/>
      <c r="H156" s="14"/>
      <c r="I156" s="14"/>
      <c r="J156" s="14"/>
      <c r="K156" s="14"/>
      <c r="L156" s="14"/>
      <c r="M156" s="14"/>
      <c r="N156" s="14"/>
      <c r="O156" s="16"/>
      <c r="P156" s="16"/>
      <c r="Q156" s="16"/>
      <c r="R156" s="16"/>
      <c r="S156" s="16"/>
      <c r="T156" s="16"/>
      <c r="U156" s="16"/>
      <c r="V156" s="16"/>
      <c r="W156" s="16"/>
      <c r="X156" s="16"/>
      <c r="Y156" s="16"/>
      <c r="Z156" s="16"/>
      <c r="AA156" s="16"/>
      <c r="AB156" s="16"/>
      <c r="AC156" s="16"/>
      <c r="AD156" s="16"/>
    </row>
    <row r="157" spans="2:30" ht="15.75" customHeight="1">
      <c r="B157" s="14"/>
      <c r="C157" s="14"/>
      <c r="D157" s="14"/>
      <c r="E157" s="14"/>
      <c r="F157" s="14"/>
      <c r="G157" s="14"/>
      <c r="H157" s="14"/>
      <c r="I157" s="14"/>
      <c r="J157" s="14"/>
      <c r="K157" s="14"/>
      <c r="L157" s="14"/>
      <c r="M157" s="14"/>
      <c r="N157" s="14"/>
      <c r="O157" s="16"/>
      <c r="P157" s="16"/>
      <c r="Q157" s="16"/>
      <c r="R157" s="16"/>
      <c r="S157" s="16"/>
      <c r="T157" s="16"/>
      <c r="U157" s="16"/>
      <c r="V157" s="16"/>
      <c r="W157" s="16"/>
      <c r="X157" s="16"/>
      <c r="Y157" s="16"/>
      <c r="Z157" s="16"/>
      <c r="AA157" s="16"/>
      <c r="AB157" s="16"/>
      <c r="AC157" s="16"/>
      <c r="AD157" s="16"/>
    </row>
    <row r="158" spans="2:30" ht="15.75" customHeight="1">
      <c r="B158" s="14"/>
      <c r="C158" s="14"/>
      <c r="D158" s="14"/>
      <c r="E158" s="14"/>
      <c r="F158" s="14"/>
      <c r="G158" s="14"/>
      <c r="H158" s="14"/>
      <c r="I158" s="14"/>
      <c r="J158" s="14"/>
      <c r="K158" s="14"/>
      <c r="L158" s="14"/>
      <c r="M158" s="14"/>
      <c r="N158" s="14"/>
      <c r="O158" s="16"/>
      <c r="P158" s="16"/>
      <c r="Q158" s="16"/>
      <c r="R158" s="16"/>
      <c r="S158" s="16"/>
      <c r="T158" s="16"/>
      <c r="U158" s="16"/>
      <c r="V158" s="16"/>
      <c r="W158" s="16"/>
      <c r="X158" s="16"/>
      <c r="Y158" s="16"/>
      <c r="Z158" s="16"/>
      <c r="AA158" s="16"/>
      <c r="AB158" s="16"/>
      <c r="AC158" s="16"/>
      <c r="AD158" s="16"/>
    </row>
    <row r="159" spans="2:30" ht="15.75" customHeight="1">
      <c r="B159" s="14"/>
      <c r="C159" s="14"/>
      <c r="D159" s="14"/>
      <c r="E159" s="14"/>
      <c r="F159" s="14"/>
      <c r="G159" s="14"/>
      <c r="H159" s="14"/>
      <c r="I159" s="14"/>
      <c r="J159" s="14"/>
      <c r="K159" s="14"/>
      <c r="L159" s="14"/>
      <c r="M159" s="14"/>
      <c r="N159" s="14"/>
      <c r="O159" s="16"/>
      <c r="P159" s="16"/>
      <c r="Q159" s="16"/>
      <c r="R159" s="16"/>
      <c r="S159" s="16"/>
      <c r="T159" s="16"/>
      <c r="U159" s="16"/>
      <c r="V159" s="16"/>
      <c r="W159" s="16"/>
      <c r="X159" s="16"/>
      <c r="Y159" s="16"/>
      <c r="Z159" s="16"/>
      <c r="AA159" s="16"/>
      <c r="AB159" s="16"/>
      <c r="AC159" s="16"/>
      <c r="AD159" s="16"/>
    </row>
    <row r="160" spans="2:30" ht="15.75" customHeight="1">
      <c r="B160" s="14"/>
      <c r="C160" s="14"/>
      <c r="D160" s="14"/>
      <c r="E160" s="14"/>
      <c r="F160" s="14"/>
      <c r="G160" s="14"/>
      <c r="H160" s="14"/>
      <c r="I160" s="14"/>
      <c r="J160" s="14"/>
      <c r="K160" s="14"/>
      <c r="L160" s="14"/>
      <c r="M160" s="14"/>
      <c r="N160" s="14"/>
      <c r="O160" s="16"/>
      <c r="P160" s="16"/>
      <c r="Q160" s="16"/>
      <c r="R160" s="16"/>
      <c r="S160" s="16"/>
      <c r="T160" s="16"/>
      <c r="U160" s="16"/>
      <c r="V160" s="16"/>
      <c r="W160" s="16"/>
      <c r="X160" s="16"/>
      <c r="Y160" s="16"/>
      <c r="Z160" s="16"/>
      <c r="AA160" s="16"/>
      <c r="AB160" s="16"/>
      <c r="AC160" s="16"/>
      <c r="AD160" s="16"/>
    </row>
    <row r="161" spans="2:30" ht="15.75" customHeight="1">
      <c r="B161" s="14"/>
      <c r="C161" s="14"/>
      <c r="D161" s="14"/>
      <c r="E161" s="14"/>
      <c r="F161" s="14"/>
      <c r="G161" s="14"/>
      <c r="H161" s="14"/>
      <c r="I161" s="14"/>
      <c r="J161" s="14"/>
      <c r="K161" s="14"/>
      <c r="L161" s="14"/>
      <c r="M161" s="14"/>
      <c r="N161" s="14"/>
      <c r="O161" s="16"/>
      <c r="P161" s="16"/>
      <c r="Q161" s="16"/>
      <c r="R161" s="16"/>
      <c r="S161" s="16"/>
      <c r="T161" s="16"/>
      <c r="U161" s="16"/>
      <c r="V161" s="16"/>
      <c r="W161" s="16"/>
      <c r="X161" s="16"/>
      <c r="Y161" s="16"/>
      <c r="Z161" s="16"/>
      <c r="AA161" s="16"/>
      <c r="AB161" s="16"/>
      <c r="AC161" s="16"/>
      <c r="AD161" s="16"/>
    </row>
    <row r="162" spans="2:30" ht="15.75" customHeight="1">
      <c r="B162" s="14"/>
      <c r="C162" s="14"/>
      <c r="D162" s="14"/>
      <c r="E162" s="14"/>
      <c r="F162" s="14"/>
      <c r="G162" s="14"/>
      <c r="H162" s="14"/>
      <c r="I162" s="14"/>
      <c r="J162" s="14"/>
      <c r="K162" s="14"/>
      <c r="L162" s="14"/>
      <c r="M162" s="14"/>
      <c r="N162" s="14"/>
      <c r="O162" s="16"/>
      <c r="P162" s="16"/>
      <c r="Q162" s="16"/>
      <c r="R162" s="16"/>
      <c r="S162" s="16"/>
      <c r="T162" s="16"/>
      <c r="U162" s="16"/>
      <c r="V162" s="16"/>
      <c r="W162" s="16"/>
      <c r="X162" s="16"/>
      <c r="Y162" s="16"/>
      <c r="Z162" s="16"/>
      <c r="AA162" s="16"/>
      <c r="AB162" s="16"/>
      <c r="AC162" s="16"/>
      <c r="AD162" s="16"/>
    </row>
    <row r="163" spans="2:30" ht="15.75" customHeight="1">
      <c r="B163" s="14"/>
      <c r="C163" s="14"/>
      <c r="D163" s="14"/>
      <c r="E163" s="14"/>
      <c r="F163" s="14"/>
      <c r="G163" s="14"/>
      <c r="H163" s="14"/>
      <c r="I163" s="14"/>
      <c r="J163" s="14"/>
      <c r="K163" s="14"/>
      <c r="L163" s="14"/>
      <c r="M163" s="14"/>
      <c r="N163" s="14"/>
      <c r="O163" s="16"/>
      <c r="P163" s="16"/>
      <c r="Q163" s="16"/>
      <c r="R163" s="16"/>
      <c r="S163" s="16"/>
      <c r="T163" s="16"/>
      <c r="U163" s="16"/>
      <c r="V163" s="16"/>
      <c r="W163" s="16"/>
      <c r="X163" s="16"/>
      <c r="Y163" s="16"/>
      <c r="Z163" s="16"/>
      <c r="AA163" s="16"/>
      <c r="AB163" s="16"/>
      <c r="AC163" s="16"/>
      <c r="AD163" s="16"/>
    </row>
    <row r="164" spans="2:30" ht="15.75" customHeight="1">
      <c r="B164" s="14"/>
      <c r="C164" s="14"/>
      <c r="D164" s="14"/>
      <c r="E164" s="14"/>
      <c r="F164" s="14"/>
      <c r="G164" s="14"/>
      <c r="H164" s="14"/>
      <c r="I164" s="14"/>
      <c r="J164" s="14"/>
      <c r="K164" s="14"/>
      <c r="L164" s="14"/>
      <c r="M164" s="14"/>
      <c r="N164" s="14"/>
      <c r="O164" s="16"/>
      <c r="P164" s="16"/>
      <c r="Q164" s="16"/>
      <c r="R164" s="16"/>
      <c r="S164" s="16"/>
      <c r="T164" s="16"/>
      <c r="U164" s="16"/>
      <c r="V164" s="16"/>
      <c r="W164" s="16"/>
      <c r="X164" s="16"/>
      <c r="Y164" s="16"/>
      <c r="Z164" s="16"/>
      <c r="AA164" s="16"/>
      <c r="AB164" s="16"/>
      <c r="AC164" s="16"/>
      <c r="AD164" s="16"/>
    </row>
    <row r="165" spans="2:30" ht="15.75" customHeight="1">
      <c r="B165" s="14"/>
      <c r="C165" s="14"/>
      <c r="D165" s="14"/>
      <c r="E165" s="14"/>
      <c r="F165" s="14"/>
      <c r="G165" s="14"/>
      <c r="H165" s="14"/>
      <c r="I165" s="14"/>
      <c r="J165" s="14"/>
      <c r="K165" s="14"/>
      <c r="L165" s="14"/>
      <c r="M165" s="14"/>
      <c r="N165" s="14"/>
      <c r="O165" s="16"/>
      <c r="P165" s="16"/>
      <c r="Q165" s="16"/>
      <c r="R165" s="16"/>
      <c r="S165" s="16"/>
      <c r="T165" s="16"/>
      <c r="U165" s="16"/>
      <c r="V165" s="16"/>
      <c r="W165" s="16"/>
      <c r="X165" s="16"/>
      <c r="Y165" s="16"/>
      <c r="Z165" s="16"/>
      <c r="AA165" s="16"/>
      <c r="AB165" s="16"/>
      <c r="AC165" s="16"/>
      <c r="AD165" s="16"/>
    </row>
    <row r="166" spans="2:30" ht="15.75" customHeight="1">
      <c r="B166" s="14"/>
      <c r="C166" s="14"/>
      <c r="D166" s="14"/>
      <c r="E166" s="14"/>
      <c r="F166" s="14"/>
      <c r="G166" s="14"/>
      <c r="H166" s="14"/>
      <c r="I166" s="14"/>
      <c r="J166" s="14"/>
      <c r="K166" s="14"/>
      <c r="L166" s="14"/>
      <c r="M166" s="14"/>
      <c r="N166" s="14"/>
      <c r="O166" s="16"/>
      <c r="P166" s="16"/>
      <c r="Q166" s="16"/>
      <c r="R166" s="16"/>
      <c r="S166" s="16"/>
      <c r="T166" s="16"/>
      <c r="U166" s="16"/>
      <c r="V166" s="16"/>
      <c r="W166" s="16"/>
      <c r="X166" s="16"/>
      <c r="Y166" s="16"/>
      <c r="Z166" s="16"/>
      <c r="AA166" s="16"/>
      <c r="AB166" s="16"/>
      <c r="AC166" s="16"/>
      <c r="AD166" s="16"/>
    </row>
    <row r="167" spans="2:30" ht="15.75" customHeight="1">
      <c r="B167" s="14"/>
      <c r="C167" s="14"/>
      <c r="D167" s="14"/>
      <c r="E167" s="14"/>
      <c r="F167" s="14"/>
      <c r="G167" s="14"/>
      <c r="H167" s="14"/>
      <c r="I167" s="14"/>
      <c r="J167" s="14"/>
      <c r="K167" s="14"/>
      <c r="L167" s="14"/>
      <c r="M167" s="14"/>
      <c r="N167" s="14"/>
      <c r="O167" s="16"/>
      <c r="P167" s="16"/>
      <c r="Q167" s="16"/>
      <c r="R167" s="16"/>
      <c r="S167" s="16"/>
      <c r="T167" s="16"/>
      <c r="U167" s="16"/>
      <c r="V167" s="16"/>
      <c r="W167" s="16"/>
      <c r="X167" s="16"/>
      <c r="Y167" s="16"/>
      <c r="Z167" s="16"/>
      <c r="AA167" s="16"/>
      <c r="AB167" s="16"/>
      <c r="AC167" s="16"/>
      <c r="AD167" s="16"/>
    </row>
    <row r="168" spans="2:30" ht="15.75" customHeight="1">
      <c r="B168" s="14"/>
      <c r="C168" s="14"/>
      <c r="D168" s="14"/>
      <c r="E168" s="14"/>
      <c r="F168" s="14"/>
      <c r="G168" s="14"/>
      <c r="H168" s="14"/>
      <c r="I168" s="14"/>
      <c r="J168" s="14"/>
      <c r="K168" s="14"/>
      <c r="L168" s="14"/>
      <c r="M168" s="14"/>
      <c r="N168" s="14"/>
      <c r="O168" s="16"/>
      <c r="P168" s="16"/>
      <c r="Q168" s="16"/>
      <c r="R168" s="16"/>
      <c r="S168" s="16"/>
      <c r="T168" s="16"/>
      <c r="U168" s="16"/>
      <c r="V168" s="16"/>
      <c r="W168" s="16"/>
      <c r="X168" s="16"/>
      <c r="Y168" s="16"/>
      <c r="Z168" s="16"/>
      <c r="AA168" s="16"/>
      <c r="AB168" s="16"/>
      <c r="AC168" s="16"/>
      <c r="AD168" s="16"/>
    </row>
    <row r="169" spans="2:30" ht="15.75" customHeight="1">
      <c r="B169" s="14"/>
      <c r="C169" s="14"/>
      <c r="D169" s="14"/>
      <c r="E169" s="14"/>
      <c r="F169" s="14"/>
      <c r="G169" s="14"/>
      <c r="H169" s="14"/>
      <c r="I169" s="14"/>
      <c r="J169" s="14"/>
      <c r="K169" s="14"/>
      <c r="L169" s="14"/>
      <c r="M169" s="14"/>
      <c r="N169" s="14"/>
      <c r="O169" s="16"/>
      <c r="P169" s="16"/>
      <c r="Q169" s="16"/>
      <c r="R169" s="16"/>
      <c r="S169" s="16"/>
      <c r="T169" s="16"/>
      <c r="U169" s="16"/>
      <c r="V169" s="16"/>
      <c r="W169" s="16"/>
      <c r="X169" s="16"/>
      <c r="Y169" s="16"/>
      <c r="Z169" s="16"/>
      <c r="AA169" s="16"/>
      <c r="AB169" s="16"/>
      <c r="AC169" s="16"/>
      <c r="AD169" s="16"/>
    </row>
    <row r="170" spans="2:30" ht="15.75" customHeight="1">
      <c r="B170" s="14"/>
      <c r="C170" s="14"/>
      <c r="D170" s="14"/>
      <c r="E170" s="14"/>
      <c r="F170" s="14"/>
      <c r="G170" s="14"/>
      <c r="H170" s="14"/>
      <c r="I170" s="14"/>
      <c r="J170" s="14"/>
      <c r="K170" s="14"/>
      <c r="L170" s="14"/>
      <c r="M170" s="14"/>
      <c r="N170" s="14"/>
      <c r="O170" s="16"/>
      <c r="P170" s="16"/>
      <c r="Q170" s="16"/>
      <c r="R170" s="16"/>
      <c r="S170" s="16"/>
      <c r="T170" s="16"/>
      <c r="U170" s="16"/>
      <c r="V170" s="16"/>
      <c r="W170" s="16"/>
      <c r="X170" s="16"/>
      <c r="Y170" s="16"/>
      <c r="Z170" s="16"/>
      <c r="AA170" s="16"/>
      <c r="AB170" s="16"/>
      <c r="AC170" s="16"/>
      <c r="AD170" s="16"/>
    </row>
    <row r="171" spans="2:30" ht="15.75" customHeight="1">
      <c r="B171" s="14"/>
      <c r="C171" s="14"/>
      <c r="D171" s="14"/>
      <c r="E171" s="14"/>
      <c r="F171" s="14"/>
      <c r="G171" s="14"/>
      <c r="H171" s="14"/>
      <c r="I171" s="14"/>
      <c r="J171" s="14"/>
      <c r="K171" s="14"/>
      <c r="L171" s="14"/>
      <c r="M171" s="14"/>
      <c r="N171" s="14"/>
      <c r="O171" s="16"/>
      <c r="P171" s="16"/>
      <c r="Q171" s="16"/>
      <c r="R171" s="16"/>
      <c r="S171" s="16"/>
      <c r="T171" s="16"/>
      <c r="U171" s="16"/>
      <c r="V171" s="16"/>
      <c r="W171" s="16"/>
      <c r="X171" s="16"/>
      <c r="Y171" s="16"/>
      <c r="Z171" s="16"/>
      <c r="AA171" s="16"/>
      <c r="AB171" s="16"/>
      <c r="AC171" s="16"/>
      <c r="AD171" s="16"/>
    </row>
    <row r="172" spans="2:30" ht="15.75" customHeight="1">
      <c r="B172" s="14"/>
      <c r="C172" s="14"/>
      <c r="D172" s="14"/>
      <c r="E172" s="14"/>
      <c r="F172" s="14"/>
      <c r="G172" s="14"/>
      <c r="H172" s="14"/>
      <c r="I172" s="14"/>
      <c r="J172" s="14"/>
      <c r="K172" s="14"/>
      <c r="L172" s="14"/>
      <c r="M172" s="14"/>
      <c r="N172" s="14"/>
      <c r="O172" s="16"/>
      <c r="P172" s="16"/>
      <c r="Q172" s="16"/>
      <c r="R172" s="16"/>
      <c r="S172" s="16"/>
      <c r="T172" s="16"/>
      <c r="U172" s="16"/>
      <c r="V172" s="16"/>
      <c r="W172" s="16"/>
      <c r="X172" s="16"/>
      <c r="Y172" s="16"/>
      <c r="Z172" s="16"/>
      <c r="AA172" s="16"/>
      <c r="AB172" s="16"/>
      <c r="AC172" s="16"/>
      <c r="AD172" s="16"/>
    </row>
    <row r="173" spans="2:30" ht="15.75" customHeight="1">
      <c r="B173" s="14"/>
      <c r="C173" s="14"/>
      <c r="D173" s="14"/>
      <c r="E173" s="14"/>
      <c r="F173" s="14"/>
      <c r="G173" s="14"/>
      <c r="H173" s="14"/>
      <c r="I173" s="14"/>
      <c r="J173" s="14"/>
      <c r="K173" s="14"/>
      <c r="L173" s="14"/>
      <c r="M173" s="14"/>
      <c r="N173" s="14"/>
      <c r="O173" s="16"/>
      <c r="P173" s="16"/>
      <c r="Q173" s="16"/>
      <c r="R173" s="16"/>
      <c r="S173" s="16"/>
      <c r="T173" s="16"/>
      <c r="U173" s="16"/>
      <c r="V173" s="16"/>
      <c r="W173" s="16"/>
      <c r="X173" s="16"/>
      <c r="Y173" s="16"/>
      <c r="Z173" s="16"/>
      <c r="AA173" s="16"/>
      <c r="AB173" s="16"/>
      <c r="AC173" s="16"/>
      <c r="AD173" s="16"/>
    </row>
    <row r="174" spans="2:30" ht="15.75" customHeight="1">
      <c r="B174" s="14"/>
      <c r="C174" s="14"/>
      <c r="D174" s="14"/>
      <c r="E174" s="14"/>
      <c r="F174" s="14"/>
      <c r="G174" s="14"/>
      <c r="H174" s="14"/>
      <c r="I174" s="14"/>
      <c r="J174" s="14"/>
      <c r="K174" s="14"/>
      <c r="L174" s="14"/>
      <c r="M174" s="14"/>
      <c r="N174" s="14"/>
      <c r="O174" s="16"/>
      <c r="P174" s="16"/>
      <c r="Q174" s="16"/>
      <c r="R174" s="16"/>
      <c r="S174" s="16"/>
      <c r="T174" s="16"/>
      <c r="U174" s="16"/>
      <c r="V174" s="16"/>
      <c r="W174" s="16"/>
      <c r="X174" s="16"/>
      <c r="Y174" s="16"/>
      <c r="Z174" s="16"/>
      <c r="AA174" s="16"/>
      <c r="AB174" s="16"/>
      <c r="AC174" s="16"/>
      <c r="AD174" s="16"/>
    </row>
    <row r="175" spans="2:30" ht="15.75" customHeight="1">
      <c r="B175" s="14"/>
      <c r="C175" s="14"/>
      <c r="D175" s="14"/>
      <c r="E175" s="14"/>
      <c r="F175" s="14"/>
      <c r="G175" s="14"/>
      <c r="H175" s="14"/>
      <c r="I175" s="14"/>
      <c r="J175" s="14"/>
      <c r="K175" s="14"/>
      <c r="L175" s="14"/>
      <c r="M175" s="14"/>
      <c r="N175" s="14"/>
      <c r="O175" s="16"/>
      <c r="P175" s="16"/>
      <c r="Q175" s="16"/>
      <c r="R175" s="16"/>
      <c r="S175" s="16"/>
      <c r="T175" s="16"/>
      <c r="U175" s="16"/>
      <c r="V175" s="16"/>
      <c r="W175" s="16"/>
      <c r="X175" s="16"/>
      <c r="Y175" s="16"/>
      <c r="Z175" s="16"/>
      <c r="AA175" s="16"/>
      <c r="AB175" s="16"/>
      <c r="AC175" s="16"/>
      <c r="AD175" s="16"/>
    </row>
    <row r="176" spans="2:30" ht="15.75" customHeight="1">
      <c r="B176" s="14"/>
      <c r="C176" s="14"/>
      <c r="D176" s="14"/>
      <c r="E176" s="14"/>
      <c r="F176" s="14"/>
      <c r="G176" s="14"/>
      <c r="H176" s="14"/>
      <c r="I176" s="14"/>
      <c r="J176" s="14"/>
      <c r="K176" s="14"/>
      <c r="L176" s="14"/>
      <c r="M176" s="14"/>
      <c r="N176" s="14"/>
      <c r="O176" s="16"/>
      <c r="P176" s="16"/>
      <c r="Q176" s="16"/>
      <c r="R176" s="16"/>
      <c r="S176" s="16"/>
      <c r="T176" s="16"/>
      <c r="U176" s="16"/>
      <c r="V176" s="16"/>
      <c r="W176" s="16"/>
      <c r="X176" s="16"/>
      <c r="Y176" s="16"/>
      <c r="Z176" s="16"/>
      <c r="AA176" s="16"/>
      <c r="AB176" s="16"/>
      <c r="AC176" s="16"/>
      <c r="AD176" s="16"/>
    </row>
    <row r="177" spans="2:30" ht="15.75" customHeight="1">
      <c r="B177" s="14"/>
      <c r="C177" s="14"/>
      <c r="D177" s="14"/>
      <c r="E177" s="14"/>
      <c r="F177" s="14"/>
      <c r="G177" s="14"/>
      <c r="H177" s="14"/>
      <c r="I177" s="14"/>
      <c r="J177" s="14"/>
      <c r="K177" s="14"/>
      <c r="L177" s="14"/>
      <c r="M177" s="14"/>
      <c r="N177" s="14"/>
      <c r="O177" s="16"/>
      <c r="P177" s="16"/>
      <c r="Q177" s="16"/>
      <c r="R177" s="16"/>
      <c r="S177" s="16"/>
      <c r="T177" s="16"/>
      <c r="U177" s="16"/>
      <c r="V177" s="16"/>
      <c r="W177" s="16"/>
      <c r="X177" s="16"/>
      <c r="Y177" s="16"/>
      <c r="Z177" s="16"/>
      <c r="AA177" s="16"/>
      <c r="AB177" s="16"/>
      <c r="AC177" s="16"/>
      <c r="AD177" s="16"/>
    </row>
    <row r="178" spans="2:30" ht="15.75" customHeight="1">
      <c r="B178" s="14"/>
      <c r="C178" s="14"/>
      <c r="D178" s="14"/>
      <c r="E178" s="14"/>
      <c r="F178" s="14"/>
      <c r="G178" s="14"/>
      <c r="H178" s="14"/>
      <c r="I178" s="14"/>
      <c r="J178" s="14"/>
      <c r="K178" s="14"/>
      <c r="L178" s="14"/>
      <c r="M178" s="14"/>
      <c r="N178" s="14"/>
      <c r="O178" s="16"/>
      <c r="P178" s="16"/>
      <c r="Q178" s="16"/>
      <c r="R178" s="16"/>
      <c r="S178" s="16"/>
      <c r="T178" s="16"/>
      <c r="U178" s="16"/>
      <c r="V178" s="16"/>
      <c r="W178" s="16"/>
      <c r="X178" s="16"/>
      <c r="Y178" s="16"/>
      <c r="Z178" s="16"/>
      <c r="AA178" s="16"/>
      <c r="AB178" s="16"/>
      <c r="AC178" s="16"/>
      <c r="AD178" s="16"/>
    </row>
    <row r="179" spans="2:30" ht="15.75" customHeight="1">
      <c r="B179" s="14"/>
      <c r="C179" s="14"/>
      <c r="D179" s="14"/>
      <c r="E179" s="14"/>
      <c r="F179" s="14"/>
      <c r="G179" s="14"/>
      <c r="H179" s="14"/>
      <c r="I179" s="14"/>
      <c r="J179" s="14"/>
      <c r="K179" s="14"/>
      <c r="L179" s="14"/>
      <c r="M179" s="14"/>
      <c r="N179" s="14"/>
      <c r="O179" s="16"/>
      <c r="P179" s="16"/>
      <c r="Q179" s="16"/>
      <c r="R179" s="16"/>
      <c r="S179" s="16"/>
      <c r="T179" s="16"/>
      <c r="U179" s="16"/>
      <c r="V179" s="16"/>
      <c r="W179" s="16"/>
      <c r="X179" s="16"/>
      <c r="Y179" s="16"/>
      <c r="Z179" s="16"/>
      <c r="AA179" s="16"/>
      <c r="AB179" s="16"/>
      <c r="AC179" s="16"/>
      <c r="AD179" s="16"/>
    </row>
    <row r="180" spans="2:30" ht="15.75" customHeight="1">
      <c r="B180" s="14"/>
      <c r="C180" s="14"/>
      <c r="D180" s="14"/>
      <c r="E180" s="14"/>
      <c r="F180" s="14"/>
      <c r="G180" s="14"/>
      <c r="H180" s="14"/>
      <c r="I180" s="14"/>
      <c r="J180" s="14"/>
      <c r="K180" s="14"/>
      <c r="L180" s="14"/>
      <c r="M180" s="14"/>
      <c r="N180" s="14"/>
      <c r="O180" s="16"/>
      <c r="P180" s="16"/>
      <c r="Q180" s="16"/>
      <c r="R180" s="16"/>
      <c r="S180" s="16"/>
      <c r="T180" s="16"/>
      <c r="U180" s="16"/>
      <c r="V180" s="16"/>
      <c r="W180" s="16"/>
      <c r="X180" s="16"/>
      <c r="Y180" s="16"/>
      <c r="Z180" s="16"/>
      <c r="AA180" s="16"/>
      <c r="AB180" s="16"/>
      <c r="AC180" s="16"/>
      <c r="AD180" s="16"/>
    </row>
    <row r="181" spans="2:30" ht="15.75" customHeight="1">
      <c r="B181" s="14"/>
      <c r="C181" s="14"/>
      <c r="D181" s="14"/>
      <c r="E181" s="14"/>
      <c r="F181" s="14"/>
      <c r="G181" s="14"/>
      <c r="H181" s="14"/>
      <c r="I181" s="14"/>
      <c r="J181" s="14"/>
      <c r="K181" s="14"/>
      <c r="L181" s="14"/>
      <c r="M181" s="14"/>
      <c r="N181" s="14"/>
      <c r="O181" s="16"/>
      <c r="P181" s="16"/>
      <c r="Q181" s="16"/>
      <c r="R181" s="16"/>
      <c r="S181" s="16"/>
      <c r="T181" s="16"/>
      <c r="U181" s="16"/>
      <c r="V181" s="16"/>
      <c r="W181" s="16"/>
      <c r="X181" s="16"/>
      <c r="Y181" s="16"/>
      <c r="Z181" s="16"/>
      <c r="AA181" s="16"/>
      <c r="AB181" s="16"/>
      <c r="AC181" s="16"/>
      <c r="AD181" s="16"/>
    </row>
    <row r="182" spans="2:30" ht="15.75" customHeight="1">
      <c r="B182" s="14"/>
      <c r="C182" s="14"/>
      <c r="D182" s="14"/>
      <c r="E182" s="14"/>
      <c r="F182" s="14"/>
      <c r="G182" s="14"/>
      <c r="H182" s="14"/>
      <c r="I182" s="14"/>
      <c r="J182" s="14"/>
      <c r="K182" s="14"/>
      <c r="L182" s="14"/>
      <c r="M182" s="14"/>
      <c r="N182" s="14"/>
      <c r="O182" s="16"/>
      <c r="P182" s="16"/>
      <c r="Q182" s="16"/>
      <c r="R182" s="16"/>
      <c r="S182" s="16"/>
      <c r="T182" s="16"/>
      <c r="U182" s="16"/>
      <c r="V182" s="16"/>
      <c r="W182" s="16"/>
      <c r="X182" s="16"/>
      <c r="Y182" s="16"/>
      <c r="Z182" s="16"/>
      <c r="AA182" s="16"/>
      <c r="AB182" s="16"/>
      <c r="AC182" s="16"/>
      <c r="AD182" s="16"/>
    </row>
    <row r="183" spans="2:30" ht="15.75" customHeight="1">
      <c r="B183" s="14"/>
      <c r="C183" s="14"/>
      <c r="D183" s="14"/>
      <c r="E183" s="14"/>
      <c r="F183" s="14"/>
      <c r="G183" s="14"/>
      <c r="H183" s="14"/>
      <c r="I183" s="14"/>
      <c r="J183" s="14"/>
      <c r="K183" s="14"/>
      <c r="L183" s="14"/>
      <c r="M183" s="14"/>
      <c r="N183" s="14"/>
      <c r="O183" s="16"/>
      <c r="P183" s="16"/>
      <c r="Q183" s="16"/>
      <c r="R183" s="16"/>
      <c r="S183" s="16"/>
      <c r="T183" s="16"/>
      <c r="U183" s="16"/>
      <c r="V183" s="16"/>
      <c r="W183" s="16"/>
      <c r="X183" s="16"/>
      <c r="Y183" s="16"/>
      <c r="Z183" s="16"/>
      <c r="AA183" s="16"/>
      <c r="AB183" s="16"/>
      <c r="AC183" s="16"/>
      <c r="AD183" s="16"/>
    </row>
    <row r="184" spans="2:30" ht="15.75" customHeight="1">
      <c r="B184" s="14"/>
      <c r="C184" s="14"/>
      <c r="D184" s="14"/>
      <c r="E184" s="14"/>
      <c r="F184" s="14"/>
      <c r="G184" s="14"/>
      <c r="H184" s="14"/>
      <c r="I184" s="14"/>
      <c r="J184" s="14"/>
      <c r="K184" s="14"/>
      <c r="L184" s="14"/>
      <c r="M184" s="14"/>
      <c r="N184" s="14"/>
      <c r="O184" s="16"/>
      <c r="P184" s="16"/>
      <c r="Q184" s="16"/>
      <c r="R184" s="16"/>
      <c r="S184" s="16"/>
      <c r="T184" s="16"/>
      <c r="U184" s="16"/>
      <c r="V184" s="16"/>
      <c r="W184" s="16"/>
      <c r="X184" s="16"/>
      <c r="Y184" s="16"/>
      <c r="Z184" s="16"/>
      <c r="AA184" s="16"/>
      <c r="AB184" s="16"/>
      <c r="AC184" s="16"/>
      <c r="AD184" s="16"/>
    </row>
    <row r="185" spans="2:30" ht="15.75" customHeight="1">
      <c r="B185" s="14"/>
      <c r="C185" s="14"/>
      <c r="D185" s="14"/>
      <c r="E185" s="14"/>
      <c r="F185" s="14"/>
      <c r="G185" s="14"/>
      <c r="H185" s="14"/>
      <c r="I185" s="14"/>
      <c r="J185" s="14"/>
      <c r="K185" s="14"/>
      <c r="L185" s="14"/>
      <c r="M185" s="14"/>
      <c r="N185" s="14"/>
      <c r="O185" s="16"/>
      <c r="P185" s="16"/>
      <c r="Q185" s="16"/>
      <c r="R185" s="16"/>
      <c r="S185" s="16"/>
      <c r="T185" s="16"/>
      <c r="U185" s="16"/>
      <c r="V185" s="16"/>
      <c r="W185" s="16"/>
      <c r="X185" s="16"/>
      <c r="Y185" s="16"/>
      <c r="Z185" s="16"/>
      <c r="AA185" s="16"/>
      <c r="AB185" s="16"/>
      <c r="AC185" s="16"/>
      <c r="AD185" s="16"/>
    </row>
    <row r="186" spans="2:30" ht="15.75" customHeight="1">
      <c r="B186" s="14"/>
      <c r="C186" s="14"/>
      <c r="D186" s="14"/>
      <c r="E186" s="14"/>
      <c r="F186" s="14"/>
      <c r="G186" s="14"/>
      <c r="H186" s="14"/>
      <c r="I186" s="14"/>
      <c r="J186" s="14"/>
      <c r="K186" s="14"/>
      <c r="L186" s="14"/>
      <c r="M186" s="14"/>
      <c r="N186" s="14"/>
      <c r="O186" s="16"/>
      <c r="P186" s="16"/>
      <c r="Q186" s="16"/>
      <c r="R186" s="16"/>
      <c r="S186" s="16"/>
      <c r="T186" s="16"/>
      <c r="U186" s="16"/>
      <c r="V186" s="16"/>
      <c r="W186" s="16"/>
      <c r="X186" s="16"/>
      <c r="Y186" s="16"/>
      <c r="Z186" s="16"/>
      <c r="AA186" s="16"/>
      <c r="AB186" s="16"/>
      <c r="AC186" s="16"/>
      <c r="AD186" s="16"/>
    </row>
    <row r="187" spans="2:30" ht="15.75" customHeight="1">
      <c r="B187" s="14"/>
      <c r="C187" s="14"/>
      <c r="D187" s="14"/>
      <c r="E187" s="14"/>
      <c r="F187" s="14"/>
      <c r="G187" s="14"/>
      <c r="H187" s="14"/>
      <c r="I187" s="14"/>
      <c r="J187" s="14"/>
      <c r="K187" s="14"/>
      <c r="L187" s="14"/>
      <c r="M187" s="14"/>
      <c r="N187" s="14"/>
      <c r="O187" s="16"/>
      <c r="P187" s="16"/>
      <c r="Q187" s="16"/>
      <c r="R187" s="16"/>
      <c r="S187" s="16"/>
      <c r="T187" s="16"/>
      <c r="U187" s="16"/>
      <c r="V187" s="16"/>
      <c r="W187" s="16"/>
      <c r="X187" s="16"/>
      <c r="Y187" s="16"/>
      <c r="Z187" s="16"/>
      <c r="AA187" s="16"/>
      <c r="AB187" s="16"/>
      <c r="AC187" s="16"/>
      <c r="AD187" s="16"/>
    </row>
    <row r="188" spans="2:30" ht="15.75" customHeight="1">
      <c r="B188" s="14"/>
      <c r="C188" s="14"/>
      <c r="D188" s="14"/>
      <c r="E188" s="14"/>
      <c r="F188" s="14"/>
      <c r="G188" s="14"/>
      <c r="H188" s="14"/>
      <c r="I188" s="14"/>
      <c r="J188" s="14"/>
      <c r="K188" s="14"/>
      <c r="L188" s="14"/>
      <c r="M188" s="14"/>
      <c r="N188" s="14"/>
      <c r="O188" s="16"/>
      <c r="P188" s="16"/>
      <c r="Q188" s="16"/>
      <c r="R188" s="16"/>
      <c r="S188" s="16"/>
      <c r="T188" s="16"/>
      <c r="U188" s="16"/>
      <c r="V188" s="16"/>
      <c r="W188" s="16"/>
      <c r="X188" s="16"/>
      <c r="Y188" s="16"/>
      <c r="Z188" s="16"/>
      <c r="AA188" s="16"/>
      <c r="AB188" s="16"/>
      <c r="AC188" s="16"/>
      <c r="AD188" s="16"/>
    </row>
    <row r="189" spans="2:30" ht="15.75" customHeight="1">
      <c r="B189" s="14"/>
      <c r="C189" s="14"/>
      <c r="D189" s="14"/>
      <c r="E189" s="14"/>
      <c r="F189" s="14"/>
      <c r="G189" s="14"/>
      <c r="H189" s="14"/>
      <c r="I189" s="14"/>
      <c r="J189" s="14"/>
      <c r="K189" s="14"/>
      <c r="L189" s="14"/>
      <c r="M189" s="14"/>
      <c r="N189" s="14"/>
      <c r="O189" s="16"/>
      <c r="P189" s="16"/>
      <c r="Q189" s="16"/>
      <c r="R189" s="16"/>
      <c r="S189" s="16"/>
      <c r="T189" s="16"/>
      <c r="U189" s="16"/>
      <c r="V189" s="16"/>
      <c r="W189" s="16"/>
      <c r="X189" s="16"/>
      <c r="Y189" s="16"/>
      <c r="Z189" s="16"/>
      <c r="AA189" s="16"/>
      <c r="AB189" s="16"/>
      <c r="AC189" s="16"/>
      <c r="AD189" s="16"/>
    </row>
    <row r="190" spans="2:30" ht="15.75" customHeight="1">
      <c r="B190" s="14"/>
      <c r="C190" s="14"/>
      <c r="D190" s="14"/>
      <c r="E190" s="14"/>
      <c r="F190" s="14"/>
      <c r="G190" s="14"/>
      <c r="H190" s="14"/>
      <c r="I190" s="14"/>
      <c r="J190" s="14"/>
      <c r="K190" s="14"/>
      <c r="L190" s="14"/>
      <c r="M190" s="14"/>
      <c r="N190" s="14"/>
      <c r="O190" s="16"/>
      <c r="P190" s="16"/>
      <c r="Q190" s="16"/>
      <c r="R190" s="16"/>
      <c r="S190" s="16"/>
      <c r="T190" s="16"/>
      <c r="U190" s="16"/>
      <c r="V190" s="16"/>
      <c r="W190" s="16"/>
      <c r="X190" s="16"/>
      <c r="Y190" s="16"/>
      <c r="Z190" s="16"/>
      <c r="AA190" s="16"/>
      <c r="AB190" s="16"/>
      <c r="AC190" s="16"/>
      <c r="AD190" s="16"/>
    </row>
    <row r="191" spans="2:30" ht="15.75" customHeight="1">
      <c r="B191" s="14"/>
      <c r="C191" s="14"/>
      <c r="D191" s="14"/>
      <c r="E191" s="14"/>
      <c r="F191" s="14"/>
      <c r="G191" s="14"/>
      <c r="H191" s="14"/>
      <c r="I191" s="14"/>
      <c r="J191" s="14"/>
      <c r="K191" s="14"/>
      <c r="L191" s="14"/>
      <c r="M191" s="14"/>
      <c r="N191" s="14"/>
      <c r="O191" s="16"/>
      <c r="P191" s="16"/>
      <c r="Q191" s="16"/>
      <c r="R191" s="16"/>
      <c r="S191" s="16"/>
      <c r="T191" s="16"/>
      <c r="U191" s="16"/>
      <c r="V191" s="16"/>
      <c r="W191" s="16"/>
      <c r="X191" s="16"/>
      <c r="Y191" s="16"/>
      <c r="Z191" s="16"/>
      <c r="AA191" s="16"/>
      <c r="AB191" s="16"/>
      <c r="AC191" s="16"/>
      <c r="AD191" s="16">
        <v>1</v>
      </c>
    </row>
    <row r="192" spans="2:30" ht="15.75" customHeight="1">
      <c r="B192" s="14"/>
      <c r="C192" s="14"/>
      <c r="D192" s="14"/>
      <c r="E192" s="14"/>
      <c r="F192" s="14"/>
      <c r="G192" s="14"/>
      <c r="H192" s="14"/>
      <c r="I192" s="14"/>
      <c r="J192" s="14"/>
      <c r="K192" s="14"/>
      <c r="L192" s="14"/>
      <c r="M192" s="14"/>
      <c r="N192" s="14"/>
      <c r="O192" s="16"/>
      <c r="P192" s="16"/>
      <c r="Q192" s="16"/>
      <c r="R192" s="16"/>
      <c r="S192" s="16"/>
      <c r="T192" s="16"/>
      <c r="U192" s="16"/>
      <c r="V192" s="16"/>
      <c r="W192" s="16"/>
      <c r="X192" s="16"/>
      <c r="Y192" s="16"/>
      <c r="Z192" s="16"/>
      <c r="AA192" s="16"/>
      <c r="AB192" s="16"/>
      <c r="AC192" s="16"/>
      <c r="AD192" s="16"/>
    </row>
    <row r="193" spans="2:30" ht="15.75" customHeight="1">
      <c r="B193" s="14"/>
      <c r="C193" s="14"/>
      <c r="D193" s="14"/>
      <c r="E193" s="14"/>
      <c r="F193" s="14"/>
      <c r="G193" s="14"/>
      <c r="H193" s="14"/>
      <c r="I193" s="14"/>
      <c r="J193" s="14"/>
      <c r="K193" s="14"/>
      <c r="L193" s="14"/>
      <c r="M193" s="14"/>
      <c r="N193" s="14"/>
      <c r="O193" s="16"/>
      <c r="P193" s="16"/>
      <c r="Q193" s="16"/>
      <c r="R193" s="16"/>
      <c r="S193" s="16"/>
      <c r="T193" s="16"/>
      <c r="U193" s="16"/>
      <c r="V193" s="16"/>
      <c r="W193" s="16"/>
      <c r="X193" s="16"/>
      <c r="Y193" s="16"/>
      <c r="Z193" s="16"/>
      <c r="AA193" s="16"/>
      <c r="AB193" s="16"/>
      <c r="AC193" s="16"/>
      <c r="AD193" s="16"/>
    </row>
    <row r="194" spans="2:30" ht="15.75" customHeight="1">
      <c r="B194" s="14"/>
      <c r="C194" s="14"/>
      <c r="D194" s="14"/>
      <c r="E194" s="14"/>
      <c r="F194" s="14"/>
      <c r="G194" s="14"/>
      <c r="H194" s="14"/>
      <c r="I194" s="14"/>
      <c r="J194" s="14"/>
      <c r="K194" s="14"/>
      <c r="L194" s="14"/>
      <c r="M194" s="14"/>
      <c r="N194" s="14"/>
      <c r="O194" s="16"/>
      <c r="P194" s="16"/>
      <c r="Q194" s="16"/>
      <c r="R194" s="16"/>
      <c r="S194" s="16"/>
      <c r="T194" s="16"/>
      <c r="U194" s="16"/>
      <c r="V194" s="16"/>
      <c r="W194" s="16"/>
      <c r="X194" s="16"/>
      <c r="Y194" s="16"/>
      <c r="Z194" s="16"/>
      <c r="AA194" s="16"/>
      <c r="AB194" s="16"/>
      <c r="AC194" s="16"/>
      <c r="AD194" s="16"/>
    </row>
    <row r="195" spans="2:30" ht="15.75" customHeight="1">
      <c r="B195" s="14"/>
      <c r="C195" s="14"/>
      <c r="D195" s="14"/>
      <c r="E195" s="14"/>
      <c r="F195" s="14"/>
      <c r="G195" s="14"/>
      <c r="H195" s="14"/>
      <c r="I195" s="14"/>
      <c r="J195" s="14"/>
      <c r="K195" s="14"/>
      <c r="L195" s="14"/>
      <c r="M195" s="14"/>
      <c r="N195" s="14"/>
      <c r="O195" s="16"/>
      <c r="P195" s="16"/>
      <c r="Q195" s="16"/>
      <c r="R195" s="16"/>
      <c r="S195" s="16"/>
      <c r="T195" s="16"/>
      <c r="U195" s="16"/>
      <c r="V195" s="16"/>
      <c r="W195" s="16"/>
      <c r="X195" s="16"/>
      <c r="Y195" s="16"/>
      <c r="Z195" s="16"/>
      <c r="AA195" s="16"/>
      <c r="AB195" s="16"/>
      <c r="AC195" s="16"/>
      <c r="AD195" s="16"/>
    </row>
    <row r="196" spans="2:30" ht="15.75" customHeight="1">
      <c r="B196" s="14"/>
      <c r="C196" s="14"/>
      <c r="D196" s="14"/>
      <c r="E196" s="14"/>
      <c r="F196" s="14"/>
      <c r="G196" s="14"/>
      <c r="H196" s="14"/>
      <c r="I196" s="14"/>
      <c r="J196" s="14"/>
      <c r="K196" s="14"/>
      <c r="L196" s="14"/>
      <c r="M196" s="14"/>
      <c r="N196" s="14"/>
      <c r="O196" s="16"/>
      <c r="P196" s="16"/>
      <c r="Q196" s="16"/>
      <c r="R196" s="16"/>
      <c r="S196" s="16"/>
      <c r="T196" s="16"/>
      <c r="U196" s="16"/>
      <c r="V196" s="16"/>
      <c r="W196" s="16"/>
      <c r="X196" s="16"/>
      <c r="Y196" s="16"/>
      <c r="Z196" s="16"/>
      <c r="AA196" s="16"/>
      <c r="AB196" s="16"/>
      <c r="AC196" s="16"/>
      <c r="AD196" s="16"/>
    </row>
    <row r="197" spans="2:30" ht="15.75" customHeight="1">
      <c r="B197" s="14"/>
      <c r="C197" s="14"/>
      <c r="D197" s="14"/>
      <c r="E197" s="14"/>
      <c r="F197" s="14"/>
      <c r="G197" s="14"/>
      <c r="H197" s="14"/>
      <c r="I197" s="14"/>
      <c r="J197" s="14"/>
      <c r="K197" s="14"/>
      <c r="L197" s="14"/>
      <c r="M197" s="14"/>
      <c r="N197" s="14"/>
      <c r="O197" s="16"/>
      <c r="P197" s="16"/>
      <c r="Q197" s="16"/>
      <c r="R197" s="16"/>
      <c r="S197" s="16"/>
      <c r="T197" s="16"/>
      <c r="U197" s="16"/>
      <c r="V197" s="16"/>
      <c r="W197" s="16"/>
      <c r="X197" s="16"/>
      <c r="Y197" s="16"/>
      <c r="Z197" s="16"/>
      <c r="AA197" s="16"/>
      <c r="AB197" s="16"/>
      <c r="AC197" s="16"/>
      <c r="AD197" s="16"/>
    </row>
    <row r="198" spans="2:30" ht="15.75" customHeight="1">
      <c r="B198" s="14"/>
      <c r="C198" s="14"/>
      <c r="D198" s="14"/>
      <c r="E198" s="14"/>
      <c r="F198" s="14"/>
      <c r="G198" s="14"/>
      <c r="H198" s="14"/>
      <c r="I198" s="14"/>
      <c r="J198" s="14"/>
      <c r="K198" s="14"/>
      <c r="L198" s="14"/>
      <c r="M198" s="14"/>
      <c r="N198" s="14"/>
      <c r="O198" s="16"/>
      <c r="P198" s="16"/>
      <c r="Q198" s="16"/>
      <c r="R198" s="16"/>
      <c r="S198" s="16"/>
      <c r="T198" s="16"/>
      <c r="U198" s="16"/>
      <c r="V198" s="16"/>
      <c r="W198" s="16"/>
      <c r="X198" s="16"/>
      <c r="Y198" s="16"/>
      <c r="Z198" s="16"/>
      <c r="AA198" s="16"/>
      <c r="AB198" s="16"/>
      <c r="AC198" s="16"/>
      <c r="AD198" s="16"/>
    </row>
    <row r="199" spans="2:30" ht="15.75" customHeight="1">
      <c r="B199" s="14"/>
      <c r="C199" s="14"/>
      <c r="D199" s="14"/>
      <c r="E199" s="14"/>
      <c r="F199" s="14"/>
      <c r="G199" s="14"/>
      <c r="H199" s="14"/>
      <c r="I199" s="14"/>
      <c r="J199" s="14"/>
      <c r="K199" s="14"/>
      <c r="L199" s="14"/>
      <c r="M199" s="14"/>
      <c r="N199" s="14"/>
      <c r="O199" s="16"/>
      <c r="P199" s="16"/>
      <c r="Q199" s="16"/>
      <c r="R199" s="16"/>
      <c r="S199" s="16"/>
      <c r="T199" s="16"/>
      <c r="U199" s="16"/>
      <c r="V199" s="16"/>
      <c r="W199" s="16"/>
      <c r="X199" s="16"/>
      <c r="Y199" s="16"/>
      <c r="Z199" s="16"/>
      <c r="AA199" s="16"/>
      <c r="AB199" s="16"/>
      <c r="AC199" s="16"/>
      <c r="AD199" s="16"/>
    </row>
    <row r="200" spans="2:30" ht="15.75" customHeight="1">
      <c r="B200" s="14"/>
      <c r="C200" s="14"/>
      <c r="D200" s="14"/>
      <c r="E200" s="14"/>
      <c r="F200" s="14"/>
      <c r="G200" s="14"/>
      <c r="H200" s="14"/>
      <c r="I200" s="14"/>
      <c r="J200" s="14"/>
      <c r="K200" s="14"/>
      <c r="L200" s="14"/>
      <c r="M200" s="14"/>
      <c r="N200" s="14"/>
      <c r="O200" s="16"/>
      <c r="P200" s="16"/>
      <c r="Q200" s="16"/>
      <c r="R200" s="16"/>
      <c r="S200" s="16"/>
      <c r="T200" s="16"/>
      <c r="U200" s="16"/>
      <c r="V200" s="16"/>
      <c r="W200" s="16"/>
      <c r="X200" s="16"/>
      <c r="Y200" s="16"/>
      <c r="Z200" s="16"/>
      <c r="AA200" s="16"/>
      <c r="AB200" s="16"/>
      <c r="AC200" s="16"/>
      <c r="AD200" s="16"/>
    </row>
    <row r="201" spans="2:30" ht="15.75" customHeight="1">
      <c r="B201" s="14"/>
      <c r="C201" s="14"/>
      <c r="D201" s="14"/>
      <c r="E201" s="14"/>
      <c r="F201" s="14"/>
      <c r="G201" s="14"/>
      <c r="H201" s="14"/>
      <c r="I201" s="14"/>
      <c r="J201" s="14"/>
      <c r="K201" s="14"/>
      <c r="L201" s="14"/>
      <c r="M201" s="14"/>
      <c r="N201" s="14"/>
      <c r="O201" s="16"/>
      <c r="P201" s="16"/>
      <c r="Q201" s="16"/>
      <c r="R201" s="16"/>
      <c r="S201" s="16"/>
      <c r="T201" s="16"/>
      <c r="U201" s="16"/>
      <c r="V201" s="16"/>
      <c r="W201" s="16"/>
      <c r="X201" s="16"/>
      <c r="Y201" s="16"/>
      <c r="Z201" s="16"/>
      <c r="AA201" s="16"/>
      <c r="AB201" s="16"/>
      <c r="AC201" s="16"/>
      <c r="AD201" s="16"/>
    </row>
    <row r="202" spans="2:30" ht="15.75" customHeight="1">
      <c r="B202" s="14"/>
      <c r="C202" s="14"/>
      <c r="D202" s="14"/>
      <c r="E202" s="14"/>
      <c r="F202" s="14"/>
      <c r="G202" s="14"/>
      <c r="H202" s="14"/>
      <c r="I202" s="14"/>
      <c r="J202" s="14"/>
      <c r="K202" s="14"/>
      <c r="L202" s="14"/>
      <c r="M202" s="14"/>
      <c r="N202" s="14"/>
      <c r="O202" s="16"/>
      <c r="P202" s="16"/>
      <c r="Q202" s="16"/>
      <c r="R202" s="16"/>
      <c r="S202" s="16"/>
      <c r="T202" s="16"/>
      <c r="U202" s="16"/>
      <c r="V202" s="16"/>
      <c r="W202" s="16"/>
      <c r="X202" s="16"/>
      <c r="Y202" s="16"/>
      <c r="Z202" s="16"/>
      <c r="AA202" s="16"/>
      <c r="AB202" s="16"/>
      <c r="AC202" s="16"/>
      <c r="AD202" s="16"/>
    </row>
    <row r="203" spans="2:30" ht="15.75" customHeight="1">
      <c r="B203" s="14"/>
      <c r="C203" s="14"/>
      <c r="D203" s="14"/>
      <c r="E203" s="14"/>
      <c r="F203" s="14"/>
      <c r="G203" s="14"/>
      <c r="H203" s="14"/>
      <c r="I203" s="14"/>
      <c r="J203" s="14"/>
      <c r="K203" s="14"/>
      <c r="L203" s="14"/>
      <c r="M203" s="14"/>
      <c r="N203" s="14"/>
      <c r="O203" s="16"/>
      <c r="P203" s="16"/>
      <c r="Q203" s="16"/>
      <c r="R203" s="16"/>
      <c r="S203" s="16"/>
      <c r="T203" s="16"/>
      <c r="U203" s="16"/>
      <c r="V203" s="16"/>
      <c r="W203" s="16"/>
      <c r="X203" s="16"/>
      <c r="Y203" s="16"/>
      <c r="Z203" s="16"/>
      <c r="AA203" s="16"/>
      <c r="AB203" s="16"/>
      <c r="AC203" s="16"/>
      <c r="AD203" s="16"/>
    </row>
    <row r="204" spans="2:30" ht="15.75" customHeight="1">
      <c r="B204" s="14"/>
      <c r="C204" s="14"/>
      <c r="D204" s="14"/>
      <c r="E204" s="14"/>
      <c r="F204" s="14"/>
      <c r="G204" s="14"/>
      <c r="H204" s="14"/>
      <c r="I204" s="14"/>
      <c r="J204" s="14"/>
      <c r="K204" s="14"/>
      <c r="L204" s="14"/>
      <c r="M204" s="14"/>
      <c r="N204" s="14"/>
      <c r="O204" s="16"/>
      <c r="P204" s="16"/>
      <c r="Q204" s="16"/>
      <c r="R204" s="16"/>
      <c r="S204" s="16"/>
      <c r="T204" s="16"/>
      <c r="U204" s="16"/>
      <c r="V204" s="16"/>
      <c r="W204" s="16"/>
      <c r="X204" s="16"/>
      <c r="Y204" s="16"/>
      <c r="Z204" s="16"/>
      <c r="AA204" s="16"/>
      <c r="AB204" s="16"/>
      <c r="AC204" s="16"/>
      <c r="AD204" s="16"/>
    </row>
    <row r="205" spans="2:30" ht="15.75" customHeight="1">
      <c r="B205" s="14"/>
      <c r="C205" s="14"/>
      <c r="D205" s="14"/>
      <c r="E205" s="14"/>
      <c r="F205" s="14"/>
      <c r="G205" s="14"/>
      <c r="H205" s="14"/>
      <c r="I205" s="14"/>
      <c r="J205" s="14"/>
      <c r="K205" s="14"/>
      <c r="L205" s="14"/>
      <c r="M205" s="14"/>
      <c r="N205" s="14"/>
      <c r="O205" s="16"/>
      <c r="P205" s="16"/>
      <c r="Q205" s="16"/>
      <c r="R205" s="16"/>
      <c r="S205" s="16"/>
      <c r="T205" s="16"/>
      <c r="U205" s="16"/>
      <c r="V205" s="16"/>
      <c r="W205" s="16"/>
      <c r="X205" s="16"/>
      <c r="Y205" s="16"/>
      <c r="Z205" s="16"/>
      <c r="AA205" s="16"/>
      <c r="AB205" s="16"/>
      <c r="AC205" s="16"/>
      <c r="AD205" s="16"/>
    </row>
    <row r="206" spans="2:30" ht="15.75" customHeight="1">
      <c r="B206" s="14"/>
      <c r="C206" s="14"/>
      <c r="D206" s="14"/>
      <c r="E206" s="14"/>
      <c r="F206" s="14"/>
      <c r="G206" s="14"/>
      <c r="H206" s="14"/>
      <c r="I206" s="14"/>
      <c r="J206" s="14"/>
      <c r="K206" s="14"/>
      <c r="L206" s="14"/>
      <c r="M206" s="14"/>
      <c r="N206" s="14"/>
      <c r="O206" s="16"/>
      <c r="P206" s="16"/>
      <c r="Q206" s="16"/>
      <c r="R206" s="16"/>
      <c r="S206" s="16"/>
      <c r="T206" s="16"/>
      <c r="U206" s="16"/>
      <c r="V206" s="16"/>
      <c r="W206" s="16"/>
      <c r="X206" s="16"/>
      <c r="Y206" s="16"/>
      <c r="Z206" s="16"/>
      <c r="AA206" s="16"/>
      <c r="AB206" s="16"/>
      <c r="AC206" s="16"/>
      <c r="AD206" s="16"/>
    </row>
    <row r="207" spans="2:30" ht="15.75" customHeight="1">
      <c r="B207" s="14"/>
      <c r="C207" s="14"/>
      <c r="D207" s="14"/>
      <c r="E207" s="14"/>
      <c r="F207" s="14"/>
      <c r="G207" s="14"/>
      <c r="H207" s="14"/>
      <c r="I207" s="14"/>
      <c r="J207" s="14"/>
      <c r="K207" s="14"/>
      <c r="L207" s="14"/>
      <c r="M207" s="14"/>
      <c r="N207" s="14"/>
      <c r="O207" s="16"/>
      <c r="P207" s="16"/>
      <c r="Q207" s="16"/>
      <c r="R207" s="16"/>
      <c r="S207" s="16"/>
      <c r="T207" s="16"/>
      <c r="U207" s="16"/>
      <c r="V207" s="16"/>
      <c r="W207" s="16"/>
      <c r="X207" s="16"/>
      <c r="Y207" s="16"/>
      <c r="Z207" s="16"/>
      <c r="AA207" s="16"/>
      <c r="AB207" s="16"/>
      <c r="AC207" s="16"/>
      <c r="AD207" s="16"/>
    </row>
    <row r="208" spans="2:30" ht="15.75" customHeight="1">
      <c r="B208" s="14"/>
      <c r="C208" s="14"/>
      <c r="D208" s="14"/>
      <c r="E208" s="14"/>
      <c r="F208" s="14"/>
      <c r="G208" s="14"/>
      <c r="H208" s="14"/>
      <c r="I208" s="14"/>
      <c r="J208" s="14"/>
      <c r="K208" s="14"/>
      <c r="L208" s="14"/>
      <c r="M208" s="14"/>
      <c r="N208" s="14"/>
      <c r="O208" s="16"/>
      <c r="P208" s="16"/>
      <c r="Q208" s="16"/>
      <c r="R208" s="16"/>
      <c r="S208" s="16"/>
      <c r="T208" s="16"/>
      <c r="U208" s="16"/>
      <c r="V208" s="16"/>
      <c r="W208" s="16"/>
      <c r="X208" s="16"/>
      <c r="Y208" s="16"/>
      <c r="Z208" s="16"/>
      <c r="AA208" s="16"/>
      <c r="AB208" s="16"/>
      <c r="AC208" s="16"/>
      <c r="AD208" s="16"/>
    </row>
    <row r="209" spans="2:30" ht="15.75" customHeight="1">
      <c r="B209" s="14"/>
      <c r="C209" s="14"/>
      <c r="D209" s="14"/>
      <c r="E209" s="14"/>
      <c r="F209" s="14"/>
      <c r="G209" s="14"/>
      <c r="H209" s="14"/>
      <c r="I209" s="14"/>
      <c r="J209" s="14"/>
      <c r="K209" s="14"/>
      <c r="L209" s="14"/>
      <c r="M209" s="14"/>
      <c r="N209" s="14"/>
      <c r="O209" s="16"/>
      <c r="P209" s="16"/>
      <c r="Q209" s="16"/>
      <c r="R209" s="16"/>
      <c r="S209" s="16"/>
      <c r="T209" s="16"/>
      <c r="U209" s="16"/>
      <c r="V209" s="16"/>
      <c r="W209" s="16"/>
      <c r="X209" s="16"/>
      <c r="Y209" s="16"/>
      <c r="Z209" s="16"/>
      <c r="AA209" s="16"/>
      <c r="AB209" s="16"/>
      <c r="AC209" s="16"/>
      <c r="AD209" s="16"/>
    </row>
    <row r="210" spans="2:30" ht="15.75" customHeight="1">
      <c r="B210" s="14"/>
      <c r="C210" s="14"/>
      <c r="D210" s="14"/>
      <c r="E210" s="14"/>
      <c r="F210" s="14"/>
      <c r="G210" s="14"/>
      <c r="H210" s="14"/>
      <c r="I210" s="14"/>
      <c r="J210" s="14"/>
      <c r="K210" s="14"/>
      <c r="L210" s="14"/>
      <c r="M210" s="14"/>
      <c r="N210" s="14"/>
      <c r="O210" s="16"/>
      <c r="P210" s="16"/>
      <c r="Q210" s="16"/>
      <c r="R210" s="16"/>
      <c r="S210" s="16"/>
      <c r="T210" s="16"/>
      <c r="U210" s="16"/>
      <c r="V210" s="16"/>
      <c r="W210" s="16"/>
      <c r="X210" s="16"/>
      <c r="Y210" s="16"/>
      <c r="Z210" s="16"/>
      <c r="AA210" s="16"/>
      <c r="AB210" s="16"/>
      <c r="AC210" s="16"/>
      <c r="AD210" s="16"/>
    </row>
    <row r="211" spans="2:30" ht="15.75" customHeight="1">
      <c r="B211" s="14"/>
      <c r="C211" s="14"/>
      <c r="D211" s="14"/>
      <c r="E211" s="14"/>
      <c r="F211" s="14"/>
      <c r="G211" s="14"/>
      <c r="H211" s="14"/>
      <c r="I211" s="14"/>
      <c r="J211" s="14"/>
      <c r="K211" s="14"/>
      <c r="L211" s="14"/>
      <c r="M211" s="14"/>
      <c r="N211" s="14"/>
      <c r="O211" s="16"/>
      <c r="P211" s="16"/>
      <c r="Q211" s="16"/>
      <c r="R211" s="16"/>
      <c r="S211" s="16"/>
      <c r="T211" s="16"/>
      <c r="U211" s="16"/>
      <c r="V211" s="16"/>
      <c r="W211" s="16"/>
      <c r="X211" s="16"/>
      <c r="Y211" s="16"/>
      <c r="Z211" s="16"/>
      <c r="AA211" s="16"/>
      <c r="AB211" s="16"/>
      <c r="AC211" s="16"/>
      <c r="AD211" s="16"/>
    </row>
    <row r="212" spans="2:30" ht="15.75" customHeight="1">
      <c r="B212" s="14"/>
      <c r="C212" s="14"/>
      <c r="D212" s="14"/>
      <c r="E212" s="14"/>
      <c r="F212" s="14"/>
      <c r="G212" s="14"/>
      <c r="H212" s="14"/>
      <c r="I212" s="14"/>
      <c r="J212" s="14"/>
      <c r="K212" s="14"/>
      <c r="L212" s="14"/>
      <c r="M212" s="14"/>
      <c r="N212" s="14"/>
      <c r="O212" s="16"/>
      <c r="P212" s="16"/>
      <c r="Q212" s="16"/>
      <c r="R212" s="16"/>
      <c r="S212" s="16"/>
      <c r="T212" s="16"/>
      <c r="U212" s="16"/>
      <c r="V212" s="16"/>
      <c r="W212" s="16"/>
      <c r="X212" s="16"/>
      <c r="Y212" s="16"/>
      <c r="Z212" s="16"/>
      <c r="AA212" s="16"/>
      <c r="AB212" s="16"/>
      <c r="AC212" s="16"/>
      <c r="AD212" s="16"/>
    </row>
    <row r="213" spans="2:30" ht="15.75" customHeight="1">
      <c r="B213" s="14"/>
      <c r="C213" s="14"/>
      <c r="D213" s="14"/>
      <c r="E213" s="14"/>
      <c r="F213" s="14"/>
      <c r="G213" s="14"/>
      <c r="H213" s="14"/>
      <c r="I213" s="14"/>
      <c r="J213" s="14"/>
      <c r="K213" s="14"/>
      <c r="L213" s="14"/>
      <c r="M213" s="14"/>
      <c r="N213" s="14"/>
      <c r="O213" s="16"/>
      <c r="P213" s="16"/>
      <c r="Q213" s="16"/>
      <c r="R213" s="16"/>
      <c r="S213" s="16"/>
      <c r="T213" s="16"/>
      <c r="U213" s="16"/>
      <c r="V213" s="16"/>
      <c r="W213" s="16"/>
      <c r="X213" s="16"/>
      <c r="Y213" s="16"/>
      <c r="Z213" s="16"/>
      <c r="AA213" s="16"/>
      <c r="AB213" s="16"/>
      <c r="AC213" s="16"/>
      <c r="AD213" s="16"/>
    </row>
    <row r="214" spans="2:30" ht="15.75" customHeight="1">
      <c r="B214" s="14"/>
      <c r="C214" s="14"/>
      <c r="D214" s="14"/>
      <c r="E214" s="14"/>
      <c r="F214" s="14"/>
      <c r="G214" s="14"/>
      <c r="H214" s="14"/>
      <c r="I214" s="14"/>
      <c r="J214" s="14"/>
      <c r="K214" s="14"/>
      <c r="L214" s="14"/>
      <c r="M214" s="14"/>
      <c r="N214" s="14"/>
      <c r="O214" s="16"/>
      <c r="P214" s="16"/>
      <c r="Q214" s="16"/>
      <c r="R214" s="16"/>
      <c r="S214" s="16"/>
      <c r="T214" s="16"/>
      <c r="U214" s="16"/>
      <c r="V214" s="16"/>
      <c r="W214" s="16"/>
      <c r="X214" s="16"/>
      <c r="Y214" s="16"/>
      <c r="Z214" s="16"/>
      <c r="AA214" s="16"/>
      <c r="AB214" s="16"/>
      <c r="AC214" s="16"/>
      <c r="AD214" s="16"/>
    </row>
    <row r="215" spans="2:30" ht="15.75" customHeight="1">
      <c r="B215" s="14"/>
      <c r="C215" s="14"/>
      <c r="D215" s="14"/>
      <c r="E215" s="14"/>
      <c r="F215" s="14"/>
      <c r="G215" s="14"/>
      <c r="H215" s="14"/>
      <c r="I215" s="14"/>
      <c r="J215" s="14"/>
      <c r="K215" s="14"/>
      <c r="L215" s="14"/>
      <c r="M215" s="14"/>
      <c r="N215" s="14"/>
      <c r="O215" s="16"/>
      <c r="P215" s="16"/>
      <c r="Q215" s="16"/>
      <c r="R215" s="16"/>
      <c r="S215" s="16"/>
      <c r="T215" s="16"/>
      <c r="U215" s="16"/>
      <c r="V215" s="16"/>
      <c r="W215" s="16"/>
      <c r="X215" s="16"/>
      <c r="Y215" s="16"/>
      <c r="Z215" s="16"/>
      <c r="AA215" s="16"/>
      <c r="AB215" s="16"/>
      <c r="AC215" s="16"/>
      <c r="AD215" s="16"/>
    </row>
    <row r="216" spans="2:30" ht="15.75" customHeight="1">
      <c r="B216" s="14"/>
      <c r="C216" s="14"/>
      <c r="D216" s="14"/>
      <c r="E216" s="14"/>
      <c r="F216" s="14"/>
      <c r="G216" s="14"/>
      <c r="H216" s="14"/>
      <c r="I216" s="14"/>
      <c r="J216" s="14"/>
      <c r="K216" s="14"/>
      <c r="L216" s="14"/>
      <c r="M216" s="14"/>
      <c r="N216" s="14"/>
      <c r="O216" s="16"/>
      <c r="P216" s="16"/>
      <c r="Q216" s="16"/>
      <c r="R216" s="16"/>
      <c r="S216" s="16"/>
      <c r="T216" s="16"/>
      <c r="U216" s="16"/>
      <c r="V216" s="16"/>
      <c r="W216" s="16"/>
      <c r="X216" s="16"/>
      <c r="Y216" s="16"/>
      <c r="Z216" s="16"/>
      <c r="AA216" s="16"/>
      <c r="AB216" s="16"/>
      <c r="AC216" s="16"/>
      <c r="AD216" s="16"/>
    </row>
    <row r="217" spans="2:30" ht="15.75" customHeight="1">
      <c r="B217" s="14"/>
      <c r="C217" s="14"/>
      <c r="D217" s="14"/>
      <c r="E217" s="14"/>
      <c r="F217" s="14"/>
      <c r="G217" s="14"/>
      <c r="H217" s="14"/>
      <c r="I217" s="14"/>
      <c r="J217" s="14"/>
      <c r="K217" s="14"/>
      <c r="L217" s="14"/>
      <c r="M217" s="14"/>
      <c r="N217" s="14"/>
      <c r="O217" s="16"/>
      <c r="P217" s="16"/>
      <c r="Q217" s="16"/>
      <c r="R217" s="16"/>
      <c r="S217" s="16"/>
      <c r="T217" s="16"/>
      <c r="U217" s="16"/>
      <c r="V217" s="16"/>
      <c r="W217" s="16"/>
      <c r="X217" s="16"/>
      <c r="Y217" s="16"/>
      <c r="Z217" s="16"/>
      <c r="AA217" s="16"/>
      <c r="AB217" s="16"/>
      <c r="AC217" s="16"/>
      <c r="AD217" s="16"/>
    </row>
    <row r="218" spans="2:30" ht="15.75" customHeight="1">
      <c r="B218" s="14"/>
      <c r="C218" s="14"/>
      <c r="D218" s="14"/>
      <c r="E218" s="14"/>
      <c r="F218" s="14"/>
      <c r="G218" s="14"/>
      <c r="H218" s="14"/>
      <c r="I218" s="14"/>
      <c r="J218" s="14"/>
      <c r="K218" s="14"/>
      <c r="L218" s="14"/>
      <c r="M218" s="14"/>
      <c r="N218" s="14"/>
      <c r="O218" s="16"/>
      <c r="P218" s="16"/>
      <c r="Q218" s="16"/>
      <c r="R218" s="16"/>
      <c r="S218" s="16"/>
      <c r="T218" s="16"/>
      <c r="U218" s="16"/>
      <c r="V218" s="16"/>
      <c r="W218" s="16"/>
      <c r="X218" s="16"/>
      <c r="Y218" s="16"/>
      <c r="Z218" s="16"/>
      <c r="AA218" s="16"/>
      <c r="AB218" s="16"/>
      <c r="AC218" s="16"/>
      <c r="AD218" s="16"/>
    </row>
    <row r="219" spans="2:30" ht="15.75" customHeight="1">
      <c r="B219" s="14"/>
      <c r="C219" s="14"/>
      <c r="D219" s="14"/>
      <c r="E219" s="14"/>
      <c r="F219" s="14"/>
      <c r="G219" s="14"/>
      <c r="H219" s="14"/>
      <c r="I219" s="14"/>
      <c r="J219" s="14"/>
      <c r="K219" s="14"/>
      <c r="L219" s="14"/>
      <c r="M219" s="14"/>
      <c r="N219" s="14"/>
      <c r="O219" s="16"/>
      <c r="P219" s="16"/>
      <c r="Q219" s="16"/>
      <c r="R219" s="16"/>
      <c r="S219" s="16"/>
      <c r="T219" s="16"/>
      <c r="U219" s="16"/>
      <c r="V219" s="16"/>
      <c r="W219" s="16"/>
      <c r="X219" s="16"/>
      <c r="Y219" s="16"/>
      <c r="Z219" s="16"/>
      <c r="AA219" s="16"/>
      <c r="AB219" s="16"/>
      <c r="AC219" s="16"/>
      <c r="AD219" s="16"/>
    </row>
    <row r="220" spans="2:30" ht="15.75" customHeight="1">
      <c r="B220" s="14"/>
      <c r="C220" s="14"/>
      <c r="D220" s="14"/>
      <c r="E220" s="14"/>
      <c r="F220" s="14"/>
      <c r="G220" s="14"/>
      <c r="H220" s="14"/>
      <c r="I220" s="14"/>
      <c r="J220" s="14"/>
      <c r="K220" s="14"/>
      <c r="L220" s="14"/>
      <c r="M220" s="14"/>
      <c r="N220" s="14"/>
      <c r="O220" s="16"/>
      <c r="P220" s="16"/>
      <c r="Q220" s="16"/>
      <c r="R220" s="16"/>
      <c r="S220" s="16"/>
      <c r="T220" s="16"/>
      <c r="U220" s="16"/>
      <c r="V220" s="16"/>
      <c r="W220" s="16"/>
      <c r="X220" s="16"/>
      <c r="Y220" s="16"/>
      <c r="Z220" s="16"/>
      <c r="AA220" s="16"/>
      <c r="AB220" s="16"/>
      <c r="AC220" s="16"/>
      <c r="AD220" s="16"/>
    </row>
    <row r="221" spans="2:30" ht="15.75" customHeight="1">
      <c r="B221" s="14"/>
      <c r="C221" s="14"/>
      <c r="D221" s="14"/>
      <c r="E221" s="14"/>
      <c r="F221" s="14"/>
      <c r="G221" s="14"/>
      <c r="H221" s="14"/>
      <c r="I221" s="14"/>
      <c r="J221" s="14"/>
      <c r="K221" s="14"/>
      <c r="L221" s="14"/>
      <c r="M221" s="14"/>
      <c r="N221" s="14"/>
      <c r="O221" s="16"/>
      <c r="P221" s="16"/>
      <c r="Q221" s="16"/>
      <c r="R221" s="16"/>
      <c r="S221" s="16"/>
      <c r="T221" s="16"/>
      <c r="U221" s="16"/>
      <c r="V221" s="16"/>
      <c r="W221" s="16"/>
      <c r="X221" s="16"/>
      <c r="Y221" s="16"/>
      <c r="Z221" s="16"/>
      <c r="AA221" s="16"/>
      <c r="AB221" s="16"/>
      <c r="AC221" s="16"/>
      <c r="AD221" s="16"/>
    </row>
    <row r="222" spans="2:30" ht="15.75" customHeight="1">
      <c r="B222" s="14"/>
      <c r="C222" s="14"/>
      <c r="D222" s="14"/>
      <c r="E222" s="14"/>
      <c r="F222" s="14"/>
      <c r="G222" s="14"/>
      <c r="H222" s="14"/>
      <c r="I222" s="14"/>
      <c r="J222" s="14"/>
      <c r="K222" s="14"/>
      <c r="L222" s="14"/>
      <c r="M222" s="14"/>
      <c r="N222" s="14"/>
      <c r="O222" s="16"/>
      <c r="P222" s="16"/>
      <c r="Q222" s="16"/>
      <c r="R222" s="16"/>
      <c r="S222" s="16"/>
      <c r="T222" s="16"/>
      <c r="U222" s="16"/>
      <c r="V222" s="16"/>
      <c r="W222" s="16"/>
      <c r="X222" s="16"/>
      <c r="Y222" s="16"/>
      <c r="Z222" s="16"/>
      <c r="AA222" s="16"/>
      <c r="AB222" s="16"/>
      <c r="AC222" s="16"/>
      <c r="AD222" s="16"/>
    </row>
    <row r="223" spans="2:30" ht="15.75" customHeight="1">
      <c r="B223" s="14"/>
      <c r="C223" s="14"/>
      <c r="D223" s="14"/>
      <c r="E223" s="14"/>
      <c r="F223" s="14"/>
      <c r="G223" s="14"/>
      <c r="H223" s="14"/>
      <c r="I223" s="14"/>
      <c r="J223" s="14"/>
      <c r="K223" s="14"/>
      <c r="L223" s="14"/>
      <c r="M223" s="14"/>
      <c r="N223" s="14"/>
      <c r="O223" s="16"/>
      <c r="P223" s="16"/>
      <c r="Q223" s="16"/>
      <c r="R223" s="16"/>
      <c r="S223" s="16"/>
      <c r="T223" s="16"/>
      <c r="U223" s="16"/>
      <c r="V223" s="16"/>
      <c r="W223" s="16"/>
      <c r="X223" s="16"/>
      <c r="Y223" s="16"/>
      <c r="Z223" s="16"/>
      <c r="AA223" s="16"/>
      <c r="AB223" s="16"/>
      <c r="AC223" s="16"/>
      <c r="AD223" s="16"/>
    </row>
    <row r="224" spans="2:30" ht="15.75" customHeight="1">
      <c r="B224" s="14"/>
      <c r="C224" s="14"/>
      <c r="D224" s="14"/>
      <c r="E224" s="14"/>
      <c r="F224" s="14"/>
      <c r="G224" s="14"/>
      <c r="H224" s="14"/>
      <c r="I224" s="14"/>
      <c r="J224" s="14"/>
      <c r="K224" s="14"/>
      <c r="L224" s="14"/>
      <c r="M224" s="14"/>
      <c r="N224" s="14"/>
      <c r="O224" s="16"/>
      <c r="P224" s="16"/>
      <c r="Q224" s="16"/>
      <c r="R224" s="16"/>
      <c r="S224" s="16"/>
      <c r="T224" s="16"/>
      <c r="U224" s="16"/>
      <c r="V224" s="16"/>
      <c r="W224" s="16"/>
      <c r="X224" s="16"/>
      <c r="Y224" s="16"/>
      <c r="Z224" s="16"/>
      <c r="AA224" s="16"/>
      <c r="AB224" s="16"/>
      <c r="AC224" s="16"/>
      <c r="AD224" s="16"/>
    </row>
    <row r="225" spans="2:30" ht="15.75" customHeight="1">
      <c r="B225" s="14"/>
      <c r="C225" s="14"/>
      <c r="D225" s="14"/>
      <c r="E225" s="14"/>
      <c r="F225" s="14"/>
      <c r="G225" s="14"/>
      <c r="H225" s="14"/>
      <c r="I225" s="14"/>
      <c r="J225" s="14"/>
      <c r="K225" s="14"/>
      <c r="L225" s="14"/>
      <c r="M225" s="14"/>
      <c r="N225" s="14"/>
      <c r="O225" s="16"/>
      <c r="P225" s="16"/>
      <c r="Q225" s="16"/>
      <c r="R225" s="16"/>
      <c r="S225" s="16"/>
      <c r="T225" s="16"/>
      <c r="U225" s="16"/>
      <c r="V225" s="16"/>
      <c r="W225" s="16"/>
      <c r="X225" s="16"/>
      <c r="Y225" s="16"/>
      <c r="Z225" s="16"/>
      <c r="AA225" s="16"/>
      <c r="AB225" s="16"/>
      <c r="AC225" s="16"/>
      <c r="AD225" s="16"/>
    </row>
    <row r="226" spans="2:30" ht="15.75" customHeight="1">
      <c r="B226" s="14"/>
      <c r="C226" s="14"/>
      <c r="D226" s="14"/>
      <c r="E226" s="14"/>
      <c r="F226" s="14"/>
      <c r="G226" s="14"/>
      <c r="H226" s="14"/>
      <c r="I226" s="14"/>
      <c r="J226" s="14"/>
      <c r="K226" s="14"/>
      <c r="L226" s="14"/>
      <c r="M226" s="14"/>
      <c r="N226" s="14"/>
      <c r="O226" s="16"/>
      <c r="P226" s="16"/>
      <c r="Q226" s="16"/>
      <c r="R226" s="16"/>
      <c r="S226" s="16"/>
      <c r="T226" s="16"/>
      <c r="U226" s="16"/>
      <c r="V226" s="16"/>
      <c r="W226" s="16"/>
      <c r="X226" s="16"/>
      <c r="Y226" s="16"/>
      <c r="Z226" s="16"/>
      <c r="AA226" s="16"/>
      <c r="AB226" s="16"/>
      <c r="AC226" s="16"/>
      <c r="AD226" s="16"/>
    </row>
    <row r="227" spans="2:30" ht="15.75" customHeight="1">
      <c r="B227" s="14"/>
      <c r="C227" s="14"/>
      <c r="D227" s="14"/>
      <c r="E227" s="14"/>
      <c r="F227" s="14"/>
      <c r="G227" s="14"/>
      <c r="H227" s="14"/>
      <c r="I227" s="14"/>
      <c r="J227" s="14"/>
      <c r="K227" s="14"/>
      <c r="L227" s="14"/>
      <c r="M227" s="14"/>
      <c r="N227" s="14"/>
      <c r="O227" s="16"/>
      <c r="P227" s="16"/>
      <c r="Q227" s="16"/>
      <c r="R227" s="16"/>
      <c r="S227" s="16"/>
      <c r="T227" s="16"/>
      <c r="U227" s="16"/>
      <c r="V227" s="16"/>
      <c r="W227" s="16"/>
      <c r="X227" s="16"/>
      <c r="Y227" s="16"/>
      <c r="Z227" s="16"/>
      <c r="AA227" s="16"/>
      <c r="AB227" s="16"/>
      <c r="AC227" s="16"/>
      <c r="AD227" s="16"/>
    </row>
    <row r="228" spans="2:30" ht="15.75" customHeight="1">
      <c r="B228" s="14"/>
      <c r="C228" s="14"/>
      <c r="D228" s="14"/>
      <c r="E228" s="14"/>
      <c r="F228" s="14"/>
      <c r="G228" s="14"/>
      <c r="H228" s="14"/>
      <c r="I228" s="14"/>
      <c r="J228" s="14"/>
      <c r="K228" s="14"/>
      <c r="L228" s="14"/>
      <c r="M228" s="14"/>
      <c r="N228" s="14"/>
      <c r="O228" s="16"/>
      <c r="P228" s="16"/>
      <c r="Q228" s="16"/>
      <c r="R228" s="16"/>
      <c r="S228" s="16"/>
      <c r="T228" s="16"/>
      <c r="U228" s="16"/>
      <c r="V228" s="16"/>
      <c r="W228" s="16"/>
      <c r="X228" s="16"/>
      <c r="Y228" s="16"/>
      <c r="Z228" s="16"/>
      <c r="AA228" s="16"/>
      <c r="AB228" s="16"/>
      <c r="AC228" s="16"/>
      <c r="AD228" s="16"/>
    </row>
    <row r="229" spans="2:30" ht="15.75" customHeight="1">
      <c r="B229" s="14"/>
      <c r="C229" s="14"/>
      <c r="D229" s="14"/>
      <c r="E229" s="14"/>
      <c r="F229" s="14"/>
      <c r="G229" s="14"/>
      <c r="H229" s="14"/>
      <c r="I229" s="14"/>
      <c r="J229" s="14"/>
      <c r="K229" s="14"/>
      <c r="L229" s="14"/>
      <c r="M229" s="14"/>
      <c r="N229" s="14"/>
      <c r="O229" s="16"/>
      <c r="P229" s="16"/>
      <c r="Q229" s="16"/>
      <c r="R229" s="16"/>
      <c r="S229" s="16"/>
      <c r="T229" s="16"/>
      <c r="U229" s="16"/>
      <c r="V229" s="16"/>
      <c r="W229" s="16"/>
      <c r="X229" s="16"/>
      <c r="Y229" s="16"/>
      <c r="Z229" s="16"/>
      <c r="AA229" s="16"/>
      <c r="AB229" s="16"/>
      <c r="AC229" s="16"/>
      <c r="AD229" s="16"/>
    </row>
    <row r="230" spans="2:30" ht="15.75" customHeight="1">
      <c r="B230" s="14"/>
      <c r="C230" s="14"/>
      <c r="D230" s="14"/>
      <c r="E230" s="14"/>
      <c r="F230" s="14"/>
      <c r="G230" s="14"/>
      <c r="H230" s="14"/>
      <c r="I230" s="14"/>
      <c r="J230" s="14"/>
      <c r="K230" s="14"/>
      <c r="L230" s="14"/>
      <c r="M230" s="14"/>
      <c r="N230" s="14"/>
      <c r="O230" s="16"/>
      <c r="P230" s="16"/>
      <c r="Q230" s="16"/>
      <c r="R230" s="16"/>
      <c r="S230" s="16"/>
      <c r="T230" s="16"/>
      <c r="U230" s="16"/>
      <c r="V230" s="16"/>
      <c r="W230" s="16"/>
      <c r="X230" s="16"/>
      <c r="Y230" s="16"/>
      <c r="Z230" s="16"/>
      <c r="AA230" s="16"/>
      <c r="AB230" s="16"/>
      <c r="AC230" s="16"/>
      <c r="AD230" s="16"/>
    </row>
    <row r="231" spans="2:30" ht="15.75" customHeight="1">
      <c r="B231" s="14"/>
      <c r="C231" s="14"/>
      <c r="D231" s="14"/>
      <c r="E231" s="14"/>
      <c r="F231" s="14"/>
      <c r="G231" s="14"/>
      <c r="H231" s="14"/>
      <c r="I231" s="14"/>
      <c r="J231" s="14"/>
      <c r="K231" s="14"/>
      <c r="L231" s="14"/>
      <c r="M231" s="14"/>
      <c r="N231" s="14"/>
      <c r="O231" s="16"/>
      <c r="P231" s="16"/>
      <c r="Q231" s="16"/>
      <c r="R231" s="16"/>
      <c r="S231" s="16"/>
      <c r="T231" s="16"/>
      <c r="U231" s="16"/>
      <c r="V231" s="16"/>
      <c r="W231" s="16"/>
      <c r="X231" s="16"/>
      <c r="Y231" s="16"/>
      <c r="Z231" s="16"/>
      <c r="AA231" s="16"/>
      <c r="AB231" s="16"/>
      <c r="AC231" s="16"/>
      <c r="AD231" s="16"/>
    </row>
    <row r="232" spans="2:30" ht="15.75" customHeight="1">
      <c r="B232" s="14"/>
      <c r="C232" s="14"/>
      <c r="D232" s="14"/>
      <c r="E232" s="14"/>
      <c r="F232" s="14"/>
      <c r="G232" s="14"/>
      <c r="H232" s="14"/>
      <c r="I232" s="14"/>
      <c r="J232" s="14"/>
      <c r="K232" s="14"/>
      <c r="L232" s="14"/>
      <c r="M232" s="14"/>
      <c r="N232" s="14"/>
      <c r="O232" s="16"/>
      <c r="P232" s="16"/>
      <c r="Q232" s="16"/>
      <c r="R232" s="16"/>
      <c r="S232" s="16"/>
      <c r="T232" s="16"/>
      <c r="U232" s="16"/>
      <c r="V232" s="16"/>
      <c r="W232" s="16"/>
      <c r="X232" s="16"/>
      <c r="Y232" s="16"/>
      <c r="Z232" s="16"/>
      <c r="AA232" s="16"/>
      <c r="AB232" s="16"/>
      <c r="AC232" s="16"/>
      <c r="AD232" s="16"/>
    </row>
    <row r="233" spans="2:30" ht="15.75" customHeight="1">
      <c r="B233" s="14"/>
      <c r="C233" s="14"/>
      <c r="D233" s="14"/>
      <c r="E233" s="14"/>
      <c r="F233" s="14"/>
      <c r="G233" s="14"/>
      <c r="H233" s="14"/>
      <c r="I233" s="14"/>
      <c r="J233" s="14"/>
      <c r="K233" s="14"/>
      <c r="L233" s="14"/>
      <c r="M233" s="14"/>
      <c r="N233" s="14"/>
      <c r="O233" s="16"/>
      <c r="P233" s="16"/>
      <c r="Q233" s="16"/>
      <c r="R233" s="16"/>
      <c r="S233" s="16"/>
      <c r="T233" s="16"/>
      <c r="U233" s="16"/>
      <c r="V233" s="16"/>
      <c r="W233" s="16"/>
      <c r="X233" s="16"/>
      <c r="Y233" s="16"/>
      <c r="Z233" s="16"/>
      <c r="AA233" s="16"/>
      <c r="AB233" s="16"/>
      <c r="AC233" s="16"/>
      <c r="AD233" s="16"/>
    </row>
    <row r="234" spans="2:30" ht="15.75" customHeight="1">
      <c r="B234" s="14"/>
      <c r="C234" s="14"/>
      <c r="D234" s="14"/>
      <c r="E234" s="14"/>
      <c r="F234" s="14"/>
      <c r="G234" s="14"/>
      <c r="H234" s="14"/>
      <c r="I234" s="14"/>
      <c r="J234" s="14"/>
      <c r="K234" s="14"/>
      <c r="L234" s="14"/>
      <c r="M234" s="14"/>
      <c r="N234" s="14"/>
      <c r="O234" s="16"/>
      <c r="P234" s="16"/>
      <c r="Q234" s="16"/>
      <c r="R234" s="16"/>
      <c r="S234" s="16"/>
      <c r="T234" s="16"/>
      <c r="U234" s="16"/>
      <c r="V234" s="16"/>
      <c r="W234" s="16"/>
      <c r="X234" s="16"/>
      <c r="Y234" s="16"/>
      <c r="Z234" s="16"/>
      <c r="AA234" s="16"/>
      <c r="AB234" s="16"/>
      <c r="AC234" s="16"/>
      <c r="AD234" s="16"/>
    </row>
    <row r="235" spans="2:30" ht="15.75" customHeight="1">
      <c r="B235" s="14"/>
      <c r="C235" s="14"/>
      <c r="D235" s="14"/>
      <c r="E235" s="14"/>
      <c r="F235" s="14"/>
      <c r="G235" s="14"/>
      <c r="H235" s="14"/>
      <c r="I235" s="14"/>
      <c r="J235" s="14"/>
      <c r="K235" s="14"/>
      <c r="L235" s="14"/>
      <c r="M235" s="14"/>
      <c r="N235" s="14"/>
      <c r="O235" s="16"/>
      <c r="P235" s="16"/>
      <c r="Q235" s="16"/>
      <c r="R235" s="16"/>
      <c r="S235" s="16"/>
      <c r="T235" s="16"/>
      <c r="U235" s="16"/>
      <c r="V235" s="16"/>
      <c r="W235" s="16"/>
      <c r="X235" s="16"/>
      <c r="Y235" s="16"/>
      <c r="Z235" s="16"/>
      <c r="AA235" s="16"/>
      <c r="AB235" s="16"/>
      <c r="AC235" s="16"/>
      <c r="AD235" s="16"/>
    </row>
    <row r="236" spans="2:30" ht="15.75" customHeight="1">
      <c r="B236" s="14"/>
      <c r="C236" s="14"/>
      <c r="D236" s="14"/>
      <c r="E236" s="14"/>
      <c r="F236" s="14"/>
      <c r="G236" s="14"/>
      <c r="H236" s="14"/>
      <c r="I236" s="14"/>
      <c r="J236" s="14"/>
      <c r="K236" s="14"/>
      <c r="L236" s="14"/>
      <c r="M236" s="14"/>
      <c r="N236" s="14"/>
      <c r="O236" s="16"/>
      <c r="P236" s="16"/>
      <c r="Q236" s="16"/>
      <c r="R236" s="16"/>
      <c r="S236" s="16"/>
      <c r="T236" s="16"/>
      <c r="U236" s="16"/>
      <c r="V236" s="16"/>
      <c r="W236" s="16"/>
      <c r="X236" s="16"/>
      <c r="Y236" s="16"/>
      <c r="Z236" s="16"/>
      <c r="AA236" s="16"/>
      <c r="AB236" s="16"/>
      <c r="AC236" s="16"/>
      <c r="AD236" s="16"/>
    </row>
    <row r="237" spans="2:30" ht="15.75" customHeight="1">
      <c r="B237" s="14"/>
      <c r="C237" s="14"/>
      <c r="D237" s="14"/>
      <c r="E237" s="14"/>
      <c r="F237" s="14"/>
      <c r="G237" s="14"/>
      <c r="H237" s="14"/>
      <c r="I237" s="14"/>
      <c r="J237" s="14"/>
      <c r="K237" s="14"/>
      <c r="L237" s="14"/>
      <c r="M237" s="14"/>
      <c r="N237" s="14"/>
      <c r="O237" s="16"/>
      <c r="P237" s="16"/>
      <c r="Q237" s="16"/>
      <c r="R237" s="16"/>
      <c r="S237" s="16"/>
      <c r="T237" s="16"/>
      <c r="U237" s="16"/>
      <c r="V237" s="16"/>
      <c r="W237" s="16"/>
      <c r="X237" s="16"/>
      <c r="Y237" s="16"/>
      <c r="Z237" s="16"/>
      <c r="AA237" s="16"/>
      <c r="AB237" s="16"/>
      <c r="AC237" s="16"/>
      <c r="AD237" s="16"/>
    </row>
    <row r="238" spans="2:30" ht="15.75" customHeight="1">
      <c r="B238" s="14"/>
      <c r="C238" s="14"/>
      <c r="D238" s="14"/>
      <c r="E238" s="14"/>
      <c r="F238" s="14"/>
      <c r="G238" s="14"/>
      <c r="H238" s="14"/>
      <c r="I238" s="14"/>
      <c r="J238" s="14"/>
      <c r="K238" s="14"/>
      <c r="L238" s="14"/>
      <c r="M238" s="14"/>
      <c r="N238" s="14"/>
      <c r="O238" s="16"/>
      <c r="P238" s="16"/>
      <c r="Q238" s="16"/>
      <c r="R238" s="16"/>
      <c r="S238" s="16"/>
      <c r="T238" s="16"/>
      <c r="U238" s="16"/>
      <c r="V238" s="16"/>
      <c r="W238" s="16"/>
      <c r="X238" s="16"/>
      <c r="Y238" s="16"/>
      <c r="Z238" s="16"/>
      <c r="AA238" s="16"/>
      <c r="AB238" s="16"/>
      <c r="AC238" s="16"/>
      <c r="AD238" s="16"/>
    </row>
    <row r="239" spans="2:30" ht="15.75" customHeight="1">
      <c r="B239" s="14"/>
      <c r="C239" s="14"/>
      <c r="D239" s="14"/>
      <c r="E239" s="14"/>
      <c r="F239" s="14"/>
      <c r="G239" s="14"/>
      <c r="H239" s="14"/>
      <c r="I239" s="14"/>
      <c r="J239" s="14"/>
      <c r="K239" s="14"/>
      <c r="L239" s="14"/>
      <c r="M239" s="14"/>
      <c r="N239" s="14"/>
      <c r="O239" s="16"/>
      <c r="P239" s="16"/>
      <c r="Q239" s="16"/>
      <c r="R239" s="16"/>
      <c r="S239" s="16"/>
      <c r="T239" s="16"/>
      <c r="U239" s="16"/>
      <c r="V239" s="16"/>
      <c r="W239" s="16"/>
      <c r="X239" s="16"/>
      <c r="Y239" s="16"/>
      <c r="Z239" s="16"/>
      <c r="AA239" s="16"/>
      <c r="AB239" s="16"/>
      <c r="AC239" s="16"/>
      <c r="AD239" s="16"/>
    </row>
    <row r="240" spans="2:30" ht="15.75" customHeight="1">
      <c r="B240" s="14"/>
      <c r="C240" s="14"/>
      <c r="D240" s="14"/>
      <c r="E240" s="14"/>
      <c r="F240" s="14"/>
      <c r="G240" s="14"/>
      <c r="H240" s="14"/>
      <c r="I240" s="14"/>
      <c r="J240" s="14"/>
      <c r="K240" s="14"/>
      <c r="L240" s="14"/>
      <c r="M240" s="14"/>
      <c r="N240" s="14"/>
      <c r="O240" s="16"/>
      <c r="P240" s="16"/>
      <c r="Q240" s="16"/>
      <c r="R240" s="16"/>
      <c r="S240" s="16"/>
      <c r="T240" s="16"/>
      <c r="U240" s="16"/>
      <c r="V240" s="16"/>
      <c r="W240" s="16"/>
      <c r="X240" s="16"/>
      <c r="Y240" s="16"/>
      <c r="Z240" s="16"/>
      <c r="AA240" s="16"/>
      <c r="AB240" s="16"/>
      <c r="AC240" s="16"/>
      <c r="AD240" s="16"/>
    </row>
    <row r="241" spans="2:30" ht="15.75" customHeight="1">
      <c r="B241" s="14"/>
      <c r="C241" s="14"/>
      <c r="D241" s="14"/>
      <c r="E241" s="14"/>
      <c r="F241" s="14"/>
      <c r="G241" s="14"/>
      <c r="H241" s="14"/>
      <c r="I241" s="14"/>
      <c r="J241" s="14"/>
      <c r="K241" s="14"/>
      <c r="L241" s="14"/>
      <c r="M241" s="14"/>
      <c r="N241" s="14"/>
      <c r="O241" s="16"/>
      <c r="P241" s="16"/>
      <c r="Q241" s="16"/>
      <c r="R241" s="16"/>
      <c r="S241" s="16"/>
      <c r="T241" s="16"/>
      <c r="U241" s="16"/>
      <c r="V241" s="16"/>
      <c r="W241" s="16"/>
      <c r="X241" s="16"/>
      <c r="Y241" s="16"/>
      <c r="Z241" s="16"/>
      <c r="AA241" s="16"/>
      <c r="AB241" s="16"/>
      <c r="AC241" s="16"/>
      <c r="AD241" s="16"/>
    </row>
    <row r="242" spans="2:30" ht="15.75" customHeight="1">
      <c r="B242" s="14"/>
      <c r="C242" s="14"/>
      <c r="D242" s="14"/>
      <c r="E242" s="14"/>
      <c r="F242" s="14"/>
      <c r="G242" s="14"/>
      <c r="H242" s="14"/>
      <c r="I242" s="14"/>
      <c r="J242" s="14"/>
      <c r="K242" s="14"/>
      <c r="L242" s="14"/>
      <c r="M242" s="14"/>
      <c r="N242" s="14"/>
      <c r="O242" s="16"/>
      <c r="P242" s="16"/>
      <c r="Q242" s="16"/>
      <c r="R242" s="16"/>
      <c r="S242" s="16"/>
      <c r="T242" s="16"/>
      <c r="U242" s="16"/>
      <c r="V242" s="16"/>
      <c r="W242" s="16"/>
      <c r="X242" s="16"/>
      <c r="Y242" s="16"/>
      <c r="Z242" s="16"/>
      <c r="AA242" s="16"/>
      <c r="AB242" s="16"/>
      <c r="AC242" s="16"/>
      <c r="AD242" s="16"/>
    </row>
    <row r="243" spans="2:30" ht="15.75" customHeight="1">
      <c r="B243" s="14"/>
      <c r="C243" s="14"/>
      <c r="D243" s="14"/>
      <c r="E243" s="14"/>
      <c r="F243" s="14"/>
      <c r="G243" s="14"/>
      <c r="H243" s="14"/>
      <c r="I243" s="14"/>
      <c r="J243" s="14"/>
      <c r="K243" s="14"/>
      <c r="L243" s="14"/>
      <c r="M243" s="14"/>
      <c r="N243" s="14"/>
      <c r="O243" s="16"/>
      <c r="P243" s="16"/>
      <c r="Q243" s="16"/>
      <c r="R243" s="16"/>
      <c r="S243" s="16"/>
      <c r="T243" s="16"/>
      <c r="U243" s="16"/>
      <c r="V243" s="16"/>
      <c r="W243" s="16"/>
      <c r="X243" s="16"/>
      <c r="Y243" s="16"/>
      <c r="Z243" s="16"/>
      <c r="AA243" s="16"/>
      <c r="AB243" s="16"/>
      <c r="AC243" s="16"/>
      <c r="AD243" s="16"/>
    </row>
    <row r="244" spans="2:30" ht="15.75" customHeight="1">
      <c r="B244" s="14"/>
      <c r="C244" s="14"/>
      <c r="D244" s="14"/>
      <c r="E244" s="14"/>
      <c r="F244" s="14"/>
      <c r="G244" s="14"/>
      <c r="H244" s="14"/>
      <c r="I244" s="14"/>
      <c r="J244" s="14"/>
      <c r="K244" s="14"/>
      <c r="L244" s="14"/>
      <c r="M244" s="14"/>
      <c r="N244" s="14"/>
      <c r="O244" s="16"/>
      <c r="P244" s="16"/>
      <c r="Q244" s="16"/>
      <c r="R244" s="16"/>
      <c r="S244" s="16"/>
      <c r="T244" s="16"/>
      <c r="U244" s="16"/>
      <c r="V244" s="16"/>
      <c r="W244" s="16"/>
      <c r="X244" s="16"/>
      <c r="Y244" s="16"/>
      <c r="Z244" s="16"/>
      <c r="AA244" s="16"/>
      <c r="AB244" s="16"/>
      <c r="AC244" s="16"/>
      <c r="AD244" s="16"/>
    </row>
    <row r="245" spans="2:30" ht="15.75" customHeight="1">
      <c r="B245" s="14"/>
      <c r="C245" s="14"/>
      <c r="D245" s="14"/>
      <c r="E245" s="14"/>
      <c r="F245" s="14"/>
      <c r="G245" s="14"/>
      <c r="H245" s="14"/>
      <c r="I245" s="14"/>
      <c r="J245" s="14"/>
      <c r="K245" s="14"/>
      <c r="L245" s="14"/>
      <c r="M245" s="14"/>
      <c r="N245" s="14"/>
      <c r="O245" s="16"/>
      <c r="P245" s="16"/>
      <c r="Q245" s="16"/>
      <c r="R245" s="16"/>
      <c r="S245" s="16"/>
      <c r="T245" s="16"/>
      <c r="U245" s="16"/>
      <c r="V245" s="16"/>
      <c r="W245" s="16"/>
      <c r="X245" s="16"/>
      <c r="Y245" s="16"/>
      <c r="Z245" s="16"/>
      <c r="AA245" s="16"/>
      <c r="AB245" s="16"/>
      <c r="AC245" s="16"/>
      <c r="AD245" s="16"/>
    </row>
    <row r="246" spans="2:30" ht="15.75" customHeight="1">
      <c r="B246" s="14"/>
      <c r="C246" s="14"/>
      <c r="D246" s="14"/>
      <c r="E246" s="14"/>
      <c r="F246" s="14"/>
      <c r="G246" s="14"/>
      <c r="H246" s="14"/>
      <c r="I246" s="14"/>
      <c r="J246" s="14"/>
      <c r="K246" s="14"/>
      <c r="L246" s="14"/>
      <c r="M246" s="14"/>
      <c r="N246" s="14"/>
      <c r="O246" s="16"/>
      <c r="P246" s="16"/>
      <c r="Q246" s="16"/>
      <c r="R246" s="16"/>
      <c r="S246" s="16"/>
      <c r="T246" s="16"/>
      <c r="U246" s="16"/>
      <c r="V246" s="16"/>
      <c r="W246" s="16"/>
      <c r="X246" s="16"/>
      <c r="Y246" s="16"/>
      <c r="Z246" s="16"/>
      <c r="AA246" s="16"/>
      <c r="AB246" s="16"/>
      <c r="AC246" s="16"/>
      <c r="AD246" s="16"/>
    </row>
    <row r="247" spans="2:30" ht="15.75" customHeight="1">
      <c r="B247" s="14"/>
      <c r="C247" s="14"/>
      <c r="D247" s="14"/>
      <c r="E247" s="14"/>
      <c r="F247" s="14"/>
      <c r="G247" s="14"/>
      <c r="H247" s="14"/>
      <c r="I247" s="14"/>
      <c r="J247" s="14"/>
      <c r="K247" s="14"/>
      <c r="L247" s="14"/>
      <c r="M247" s="14"/>
      <c r="N247" s="14"/>
      <c r="O247" s="16"/>
      <c r="P247" s="16"/>
      <c r="Q247" s="16"/>
      <c r="R247" s="16"/>
      <c r="S247" s="16"/>
      <c r="T247" s="16"/>
      <c r="U247" s="16"/>
      <c r="V247" s="16"/>
      <c r="W247" s="16"/>
      <c r="X247" s="16"/>
      <c r="Y247" s="16"/>
      <c r="Z247" s="16"/>
      <c r="AA247" s="16"/>
      <c r="AB247" s="16"/>
      <c r="AC247" s="16"/>
      <c r="AD247" s="16"/>
    </row>
    <row r="248" spans="2:30" ht="15.75" customHeight="1">
      <c r="B248" s="14"/>
      <c r="C248" s="14"/>
      <c r="D248" s="14"/>
      <c r="E248" s="14"/>
      <c r="F248" s="14"/>
      <c r="G248" s="14"/>
      <c r="H248" s="14"/>
      <c r="I248" s="14"/>
      <c r="J248" s="14"/>
      <c r="K248" s="14"/>
      <c r="L248" s="14"/>
      <c r="M248" s="14"/>
      <c r="N248" s="14"/>
      <c r="O248" s="16"/>
      <c r="P248" s="16"/>
      <c r="Q248" s="16"/>
      <c r="R248" s="16"/>
      <c r="S248" s="16"/>
      <c r="T248" s="16"/>
      <c r="U248" s="16"/>
      <c r="V248" s="16"/>
      <c r="W248" s="16"/>
      <c r="X248" s="16"/>
      <c r="Y248" s="16"/>
      <c r="Z248" s="16"/>
      <c r="AA248" s="16"/>
      <c r="AB248" s="16"/>
      <c r="AC248" s="16"/>
      <c r="AD248" s="16"/>
    </row>
    <row r="249" spans="2:30" ht="15.75" customHeight="1">
      <c r="B249" s="14"/>
      <c r="C249" s="14"/>
      <c r="D249" s="14"/>
      <c r="E249" s="14"/>
      <c r="F249" s="14"/>
      <c r="G249" s="14"/>
      <c r="H249" s="14"/>
      <c r="I249" s="14"/>
      <c r="J249" s="14"/>
      <c r="K249" s="14"/>
      <c r="L249" s="14"/>
      <c r="M249" s="14"/>
      <c r="N249" s="14"/>
      <c r="O249" s="16"/>
      <c r="P249" s="16"/>
      <c r="Q249" s="16"/>
      <c r="R249" s="16"/>
      <c r="S249" s="16"/>
      <c r="T249" s="16"/>
      <c r="U249" s="16"/>
      <c r="V249" s="16"/>
      <c r="W249" s="16"/>
      <c r="X249" s="16"/>
      <c r="Y249" s="16"/>
      <c r="Z249" s="16"/>
      <c r="AA249" s="16"/>
      <c r="AB249" s="16"/>
      <c r="AC249" s="16"/>
      <c r="AD249" s="16"/>
    </row>
    <row r="250" spans="2:30" ht="15.75" customHeight="1">
      <c r="B250" s="14"/>
      <c r="C250" s="14"/>
      <c r="D250" s="14"/>
      <c r="E250" s="14"/>
      <c r="F250" s="14"/>
      <c r="G250" s="14"/>
      <c r="H250" s="14"/>
      <c r="I250" s="14"/>
      <c r="J250" s="14"/>
      <c r="K250" s="14"/>
      <c r="L250" s="14"/>
      <c r="M250" s="14"/>
      <c r="N250" s="14"/>
      <c r="O250" s="16"/>
      <c r="P250" s="16"/>
      <c r="Q250" s="16"/>
      <c r="R250" s="16"/>
      <c r="S250" s="16"/>
      <c r="T250" s="16"/>
      <c r="U250" s="16"/>
      <c r="V250" s="16"/>
      <c r="W250" s="16"/>
      <c r="X250" s="16"/>
      <c r="Y250" s="16"/>
      <c r="Z250" s="16"/>
      <c r="AA250" s="16"/>
      <c r="AB250" s="16"/>
      <c r="AC250" s="16"/>
      <c r="AD250" s="16"/>
    </row>
    <row r="251" spans="2:30" ht="15.75" customHeight="1">
      <c r="B251" s="14"/>
      <c r="C251" s="14"/>
      <c r="D251" s="14"/>
      <c r="E251" s="14"/>
      <c r="F251" s="14"/>
      <c r="G251" s="14"/>
      <c r="H251" s="14"/>
      <c r="I251" s="14"/>
      <c r="J251" s="14"/>
      <c r="K251" s="14"/>
      <c r="L251" s="14"/>
      <c r="M251" s="14"/>
      <c r="N251" s="14"/>
      <c r="O251" s="16"/>
      <c r="P251" s="16"/>
      <c r="Q251" s="16"/>
      <c r="R251" s="16"/>
      <c r="S251" s="16"/>
      <c r="T251" s="16"/>
      <c r="U251" s="16"/>
      <c r="V251" s="16"/>
      <c r="W251" s="16"/>
      <c r="X251" s="16"/>
      <c r="Y251" s="16"/>
      <c r="Z251" s="16"/>
      <c r="AA251" s="16"/>
      <c r="AB251" s="16"/>
      <c r="AC251" s="16"/>
      <c r="AD251" s="16"/>
    </row>
    <row r="252" spans="2:30" ht="15.75" customHeight="1">
      <c r="B252" s="14"/>
      <c r="C252" s="14"/>
      <c r="D252" s="14"/>
      <c r="E252" s="14"/>
      <c r="F252" s="14"/>
      <c r="G252" s="14"/>
      <c r="H252" s="14"/>
      <c r="I252" s="14"/>
      <c r="J252" s="14"/>
      <c r="K252" s="14"/>
      <c r="L252" s="14"/>
      <c r="M252" s="14"/>
      <c r="N252" s="14"/>
      <c r="O252" s="16"/>
      <c r="P252" s="16"/>
      <c r="Q252" s="16"/>
      <c r="R252" s="16"/>
      <c r="S252" s="16"/>
      <c r="T252" s="16"/>
      <c r="U252" s="16"/>
      <c r="V252" s="16"/>
      <c r="W252" s="16"/>
      <c r="X252" s="16"/>
      <c r="Y252" s="16"/>
      <c r="Z252" s="16"/>
      <c r="AA252" s="16"/>
      <c r="AB252" s="16"/>
      <c r="AC252" s="16"/>
      <c r="AD252" s="16"/>
    </row>
    <row r="253" spans="2:30" ht="15.75" customHeight="1">
      <c r="B253" s="14"/>
      <c r="C253" s="14"/>
      <c r="D253" s="14"/>
      <c r="E253" s="14"/>
      <c r="F253" s="14"/>
      <c r="G253" s="14"/>
      <c r="H253" s="14"/>
      <c r="I253" s="14"/>
      <c r="J253" s="14"/>
      <c r="K253" s="14"/>
      <c r="L253" s="14"/>
      <c r="M253" s="14"/>
      <c r="N253" s="14"/>
      <c r="O253" s="16"/>
      <c r="P253" s="16"/>
      <c r="Q253" s="16"/>
      <c r="R253" s="16"/>
      <c r="S253" s="16"/>
      <c r="T253" s="16"/>
      <c r="U253" s="16"/>
      <c r="V253" s="16"/>
      <c r="W253" s="16"/>
      <c r="X253" s="16"/>
      <c r="Y253" s="16"/>
      <c r="Z253" s="16"/>
      <c r="AA253" s="16"/>
      <c r="AB253" s="16"/>
      <c r="AC253" s="16"/>
      <c r="AD253" s="16"/>
    </row>
    <row r="254" spans="2:30" ht="15.75" customHeight="1">
      <c r="B254" s="14"/>
      <c r="C254" s="14"/>
      <c r="D254" s="14"/>
      <c r="E254" s="14"/>
      <c r="F254" s="14"/>
      <c r="G254" s="14"/>
      <c r="H254" s="14"/>
      <c r="I254" s="14"/>
      <c r="J254" s="14"/>
      <c r="K254" s="14"/>
      <c r="L254" s="14"/>
      <c r="M254" s="14"/>
      <c r="N254" s="14"/>
      <c r="O254" s="16"/>
      <c r="P254" s="16"/>
      <c r="Q254" s="16"/>
      <c r="R254" s="16"/>
      <c r="S254" s="16"/>
      <c r="T254" s="16"/>
      <c r="U254" s="16"/>
      <c r="V254" s="16"/>
      <c r="W254" s="16"/>
      <c r="X254" s="16"/>
      <c r="Y254" s="16"/>
      <c r="Z254" s="16"/>
      <c r="AA254" s="16"/>
      <c r="AB254" s="16"/>
      <c r="AC254" s="16"/>
      <c r="AD254" s="16"/>
    </row>
    <row r="255" spans="2:30" ht="15.75" customHeight="1">
      <c r="B255" s="14"/>
      <c r="C255" s="14"/>
      <c r="D255" s="14"/>
      <c r="E255" s="14"/>
      <c r="F255" s="14"/>
      <c r="G255" s="14"/>
      <c r="H255" s="14"/>
      <c r="I255" s="14"/>
      <c r="J255" s="14"/>
      <c r="K255" s="14"/>
      <c r="L255" s="14"/>
      <c r="M255" s="14"/>
      <c r="N255" s="14"/>
      <c r="O255" s="16"/>
      <c r="P255" s="16"/>
      <c r="Q255" s="16"/>
      <c r="R255" s="16"/>
      <c r="S255" s="16"/>
      <c r="T255" s="16"/>
      <c r="U255" s="16"/>
      <c r="V255" s="16"/>
      <c r="W255" s="16"/>
      <c r="X255" s="16"/>
      <c r="Y255" s="16"/>
      <c r="Z255" s="16"/>
      <c r="AA255" s="16"/>
      <c r="AB255" s="16"/>
      <c r="AC255" s="16"/>
      <c r="AD255" s="16"/>
    </row>
    <row r="256" spans="2:30" ht="15.75" customHeight="1">
      <c r="B256" s="14"/>
      <c r="C256" s="14"/>
      <c r="D256" s="14"/>
      <c r="E256" s="14"/>
      <c r="F256" s="14"/>
      <c r="G256" s="14"/>
      <c r="H256" s="14"/>
      <c r="I256" s="14"/>
      <c r="J256" s="14"/>
      <c r="K256" s="14"/>
      <c r="L256" s="14"/>
      <c r="M256" s="14"/>
      <c r="N256" s="14"/>
      <c r="O256" s="16"/>
      <c r="P256" s="16"/>
      <c r="Q256" s="16"/>
      <c r="R256" s="16"/>
      <c r="S256" s="16"/>
      <c r="T256" s="16"/>
      <c r="U256" s="16"/>
      <c r="V256" s="16"/>
      <c r="W256" s="16"/>
      <c r="X256" s="16"/>
      <c r="Y256" s="16"/>
      <c r="Z256" s="16"/>
      <c r="AA256" s="16"/>
      <c r="AB256" s="16"/>
      <c r="AC256" s="16"/>
      <c r="AD256" s="16"/>
    </row>
    <row r="257" spans="2:30" ht="15.75" customHeight="1">
      <c r="B257" s="14"/>
      <c r="C257" s="14"/>
      <c r="D257" s="14"/>
      <c r="E257" s="14"/>
      <c r="F257" s="14"/>
      <c r="G257" s="14"/>
      <c r="H257" s="14"/>
      <c r="I257" s="14"/>
      <c r="J257" s="14"/>
      <c r="K257" s="14"/>
      <c r="L257" s="14"/>
      <c r="M257" s="14"/>
      <c r="N257" s="14"/>
      <c r="O257" s="16"/>
      <c r="P257" s="16"/>
      <c r="Q257" s="16"/>
      <c r="R257" s="16"/>
      <c r="S257" s="16"/>
      <c r="T257" s="16"/>
      <c r="U257" s="16"/>
      <c r="V257" s="16"/>
      <c r="W257" s="16"/>
      <c r="X257" s="16"/>
      <c r="Y257" s="16"/>
      <c r="Z257" s="16"/>
      <c r="AA257" s="16"/>
      <c r="AB257" s="16"/>
      <c r="AC257" s="16"/>
      <c r="AD257" s="16"/>
    </row>
    <row r="258" spans="2:30" ht="15.75" customHeight="1">
      <c r="B258" s="14"/>
      <c r="C258" s="14"/>
      <c r="D258" s="14"/>
      <c r="E258" s="14"/>
      <c r="F258" s="14"/>
      <c r="G258" s="14"/>
      <c r="H258" s="14"/>
      <c r="I258" s="14"/>
      <c r="J258" s="14"/>
      <c r="K258" s="14"/>
      <c r="L258" s="14"/>
      <c r="M258" s="14"/>
      <c r="N258" s="14"/>
      <c r="O258" s="16"/>
      <c r="P258" s="16"/>
      <c r="Q258" s="16"/>
      <c r="R258" s="16"/>
      <c r="S258" s="16"/>
      <c r="T258" s="16"/>
      <c r="U258" s="16"/>
      <c r="V258" s="16"/>
      <c r="W258" s="16"/>
      <c r="X258" s="16"/>
      <c r="Y258" s="16"/>
      <c r="Z258" s="16"/>
      <c r="AA258" s="16"/>
      <c r="AB258" s="16"/>
      <c r="AC258" s="16"/>
      <c r="AD258" s="16"/>
    </row>
    <row r="259" spans="2:30" ht="15.75" customHeight="1">
      <c r="B259" s="14"/>
      <c r="C259" s="14"/>
      <c r="D259" s="14"/>
      <c r="E259" s="14"/>
      <c r="F259" s="14"/>
      <c r="G259" s="14"/>
      <c r="H259" s="14"/>
      <c r="I259" s="14"/>
      <c r="J259" s="14"/>
      <c r="K259" s="14"/>
      <c r="L259" s="14"/>
      <c r="M259" s="14"/>
      <c r="N259" s="14"/>
      <c r="O259" s="16"/>
      <c r="P259" s="16"/>
      <c r="Q259" s="16"/>
      <c r="R259" s="16"/>
      <c r="S259" s="16"/>
      <c r="T259" s="16"/>
      <c r="U259" s="16"/>
      <c r="V259" s="16"/>
      <c r="W259" s="16"/>
      <c r="X259" s="16"/>
      <c r="Y259" s="16"/>
      <c r="Z259" s="16"/>
      <c r="AA259" s="16"/>
      <c r="AB259" s="16"/>
      <c r="AC259" s="16"/>
      <c r="AD259" s="16"/>
    </row>
    <row r="260" spans="2:30" ht="15.75" customHeight="1">
      <c r="B260" s="14"/>
      <c r="C260" s="14"/>
      <c r="D260" s="14"/>
      <c r="E260" s="14"/>
      <c r="F260" s="14"/>
      <c r="G260" s="14"/>
      <c r="H260" s="14"/>
      <c r="I260" s="14"/>
      <c r="J260" s="14"/>
      <c r="K260" s="14"/>
      <c r="L260" s="14"/>
      <c r="M260" s="14"/>
      <c r="N260" s="14"/>
      <c r="O260" s="16"/>
      <c r="P260" s="16"/>
      <c r="Q260" s="16"/>
      <c r="R260" s="16"/>
      <c r="S260" s="16"/>
      <c r="T260" s="16"/>
      <c r="U260" s="16"/>
      <c r="V260" s="16"/>
      <c r="W260" s="16"/>
      <c r="X260" s="16"/>
      <c r="Y260" s="16"/>
      <c r="Z260" s="16"/>
      <c r="AA260" s="16"/>
      <c r="AB260" s="16"/>
      <c r="AC260" s="16"/>
      <c r="AD260" s="16"/>
    </row>
    <row r="261" spans="2:30" ht="15.75" customHeight="1">
      <c r="B261" s="14"/>
      <c r="C261" s="14"/>
      <c r="D261" s="14"/>
      <c r="E261" s="14"/>
      <c r="F261" s="14"/>
      <c r="G261" s="14"/>
      <c r="H261" s="14"/>
      <c r="I261" s="14"/>
      <c r="J261" s="14"/>
      <c r="K261" s="14"/>
      <c r="L261" s="14"/>
      <c r="M261" s="14"/>
      <c r="N261" s="14"/>
      <c r="O261" s="16"/>
      <c r="P261" s="16"/>
      <c r="Q261" s="16"/>
      <c r="R261" s="16"/>
      <c r="S261" s="16"/>
      <c r="T261" s="16"/>
      <c r="U261" s="16"/>
      <c r="V261" s="16"/>
      <c r="W261" s="16"/>
      <c r="X261" s="16"/>
      <c r="Y261" s="16"/>
      <c r="Z261" s="16"/>
      <c r="AA261" s="16"/>
      <c r="AB261" s="16"/>
      <c r="AC261" s="16"/>
      <c r="AD261" s="16"/>
    </row>
    <row r="262" spans="2:30" ht="15.75" customHeight="1">
      <c r="B262" s="14"/>
      <c r="C262" s="14"/>
      <c r="D262" s="14"/>
      <c r="E262" s="14"/>
      <c r="F262" s="14"/>
      <c r="G262" s="14"/>
      <c r="H262" s="14"/>
      <c r="I262" s="14"/>
      <c r="J262" s="14"/>
      <c r="K262" s="14"/>
      <c r="L262" s="14"/>
      <c r="M262" s="14"/>
      <c r="N262" s="14"/>
      <c r="O262" s="16"/>
      <c r="P262" s="16"/>
      <c r="Q262" s="16"/>
      <c r="R262" s="16"/>
      <c r="S262" s="16"/>
      <c r="T262" s="16"/>
      <c r="U262" s="16"/>
      <c r="V262" s="16"/>
      <c r="W262" s="16"/>
      <c r="X262" s="16"/>
      <c r="Y262" s="16"/>
      <c r="Z262" s="16"/>
      <c r="AA262" s="16"/>
      <c r="AB262" s="16"/>
      <c r="AC262" s="16"/>
      <c r="AD262" s="16"/>
    </row>
    <row r="263" spans="2:30" ht="15.75" customHeight="1">
      <c r="B263" s="14"/>
      <c r="C263" s="14"/>
      <c r="D263" s="14"/>
      <c r="E263" s="14"/>
      <c r="F263" s="14"/>
      <c r="G263" s="14"/>
      <c r="H263" s="14"/>
      <c r="I263" s="14"/>
      <c r="J263" s="14"/>
      <c r="K263" s="14"/>
      <c r="L263" s="14"/>
      <c r="M263" s="14"/>
      <c r="N263" s="14"/>
      <c r="O263" s="16"/>
      <c r="P263" s="16"/>
      <c r="Q263" s="16"/>
      <c r="R263" s="16"/>
      <c r="S263" s="16"/>
      <c r="T263" s="16"/>
      <c r="U263" s="16"/>
      <c r="V263" s="16"/>
      <c r="W263" s="16"/>
      <c r="X263" s="16"/>
      <c r="Y263" s="16"/>
      <c r="Z263" s="16"/>
      <c r="AA263" s="16"/>
      <c r="AB263" s="16"/>
      <c r="AC263" s="16"/>
      <c r="AD263" s="16"/>
    </row>
    <row r="264" spans="2:30" ht="15.75" customHeight="1">
      <c r="B264" s="14"/>
      <c r="C264" s="14"/>
      <c r="D264" s="14"/>
      <c r="E264" s="14"/>
      <c r="F264" s="14"/>
      <c r="G264" s="14"/>
      <c r="H264" s="14"/>
      <c r="I264" s="14"/>
      <c r="J264" s="14"/>
      <c r="K264" s="14"/>
      <c r="L264" s="14"/>
      <c r="M264" s="14"/>
      <c r="N264" s="14"/>
      <c r="O264" s="16"/>
      <c r="P264" s="16"/>
      <c r="Q264" s="16"/>
      <c r="R264" s="16"/>
      <c r="S264" s="16"/>
      <c r="T264" s="16"/>
      <c r="U264" s="16"/>
      <c r="V264" s="16"/>
      <c r="W264" s="16"/>
      <c r="X264" s="16"/>
      <c r="Y264" s="16"/>
      <c r="Z264" s="16"/>
      <c r="AA264" s="16"/>
      <c r="AB264" s="16"/>
      <c r="AC264" s="16"/>
      <c r="AD264" s="16"/>
    </row>
    <row r="265" spans="2:30" ht="15.75" customHeight="1">
      <c r="B265" s="14"/>
      <c r="C265" s="14"/>
      <c r="D265" s="14"/>
      <c r="E265" s="14"/>
      <c r="F265" s="14"/>
      <c r="G265" s="14"/>
      <c r="H265" s="14"/>
      <c r="I265" s="14"/>
      <c r="J265" s="14"/>
      <c r="K265" s="14"/>
      <c r="L265" s="14"/>
      <c r="M265" s="14"/>
      <c r="N265" s="14"/>
      <c r="O265" s="16"/>
      <c r="P265" s="16"/>
      <c r="Q265" s="16"/>
      <c r="R265" s="16"/>
      <c r="S265" s="16"/>
      <c r="T265" s="16"/>
      <c r="U265" s="16"/>
      <c r="V265" s="16"/>
      <c r="W265" s="16"/>
      <c r="X265" s="16"/>
      <c r="Y265" s="16"/>
      <c r="Z265" s="16"/>
      <c r="AA265" s="16"/>
      <c r="AB265" s="16"/>
      <c r="AC265" s="16"/>
      <c r="AD265" s="16"/>
    </row>
    <row r="266" spans="2:30" ht="15.75" customHeight="1">
      <c r="B266" s="14"/>
      <c r="C266" s="14"/>
      <c r="D266" s="14"/>
      <c r="E266" s="14"/>
      <c r="F266" s="14"/>
      <c r="G266" s="14"/>
      <c r="H266" s="14"/>
      <c r="I266" s="14"/>
      <c r="J266" s="14"/>
      <c r="K266" s="14"/>
      <c r="L266" s="14"/>
      <c r="M266" s="14"/>
      <c r="N266" s="14"/>
      <c r="O266" s="16"/>
      <c r="P266" s="16"/>
      <c r="Q266" s="16"/>
      <c r="R266" s="16"/>
      <c r="S266" s="16"/>
      <c r="T266" s="16"/>
      <c r="U266" s="16"/>
      <c r="V266" s="16"/>
      <c r="W266" s="16"/>
      <c r="X266" s="16"/>
      <c r="Y266" s="16"/>
      <c r="Z266" s="16"/>
      <c r="AA266" s="16"/>
      <c r="AB266" s="16"/>
      <c r="AC266" s="16"/>
      <c r="AD266" s="16"/>
    </row>
    <row r="267" spans="2:30" ht="15.75" customHeight="1">
      <c r="B267" s="14"/>
      <c r="C267" s="14"/>
      <c r="D267" s="14"/>
      <c r="E267" s="14"/>
      <c r="F267" s="14"/>
      <c r="G267" s="14"/>
      <c r="H267" s="14"/>
      <c r="I267" s="14"/>
      <c r="J267" s="14"/>
      <c r="K267" s="14"/>
      <c r="L267" s="14"/>
      <c r="M267" s="14"/>
      <c r="N267" s="14"/>
      <c r="O267" s="16"/>
      <c r="P267" s="16"/>
      <c r="Q267" s="16"/>
      <c r="R267" s="16"/>
      <c r="S267" s="16"/>
      <c r="T267" s="16"/>
      <c r="U267" s="16"/>
      <c r="V267" s="16"/>
      <c r="W267" s="16"/>
      <c r="X267" s="16"/>
      <c r="Y267" s="16"/>
      <c r="Z267" s="16"/>
      <c r="AA267" s="16"/>
      <c r="AB267" s="16"/>
      <c r="AC267" s="16"/>
      <c r="AD267" s="16"/>
    </row>
    <row r="268" spans="2:30" ht="15.75" customHeight="1">
      <c r="B268" s="14"/>
      <c r="C268" s="14"/>
      <c r="D268" s="14"/>
      <c r="E268" s="14"/>
      <c r="F268" s="14"/>
      <c r="G268" s="14"/>
      <c r="H268" s="14"/>
      <c r="I268" s="14"/>
      <c r="J268" s="14"/>
      <c r="K268" s="14"/>
      <c r="L268" s="14"/>
      <c r="M268" s="14"/>
      <c r="N268" s="14"/>
      <c r="O268" s="16"/>
      <c r="P268" s="16"/>
      <c r="Q268" s="16"/>
      <c r="R268" s="16"/>
      <c r="S268" s="16"/>
      <c r="T268" s="16"/>
      <c r="U268" s="16"/>
      <c r="V268" s="16"/>
      <c r="W268" s="16"/>
      <c r="X268" s="16"/>
      <c r="Y268" s="16"/>
      <c r="Z268" s="16"/>
      <c r="AA268" s="16"/>
      <c r="AB268" s="16"/>
      <c r="AC268" s="16"/>
      <c r="AD268" s="16"/>
    </row>
    <row r="269" spans="2:30" ht="15.75" customHeight="1">
      <c r="B269" s="14"/>
      <c r="C269" s="14"/>
      <c r="D269" s="14"/>
      <c r="E269" s="14"/>
      <c r="F269" s="14"/>
      <c r="G269" s="14"/>
      <c r="H269" s="14"/>
      <c r="I269" s="14"/>
      <c r="J269" s="14"/>
      <c r="K269" s="14"/>
      <c r="L269" s="14"/>
      <c r="M269" s="14"/>
      <c r="N269" s="14"/>
      <c r="O269" s="16"/>
      <c r="P269" s="16"/>
      <c r="Q269" s="16"/>
      <c r="R269" s="16"/>
      <c r="S269" s="16"/>
      <c r="T269" s="16"/>
      <c r="U269" s="16"/>
      <c r="V269" s="16"/>
      <c r="W269" s="16"/>
      <c r="X269" s="16"/>
      <c r="Y269" s="16"/>
      <c r="Z269" s="16"/>
      <c r="AA269" s="16"/>
      <c r="AB269" s="16"/>
      <c r="AC269" s="16"/>
      <c r="AD269" s="16"/>
    </row>
    <row r="270" spans="2:30" ht="15.75" customHeight="1">
      <c r="B270" s="14"/>
      <c r="C270" s="14"/>
      <c r="D270" s="14"/>
      <c r="E270" s="14"/>
      <c r="F270" s="14"/>
      <c r="G270" s="14"/>
      <c r="H270" s="14"/>
      <c r="I270" s="14"/>
      <c r="J270" s="14"/>
      <c r="K270" s="14"/>
      <c r="L270" s="14"/>
      <c r="M270" s="14"/>
      <c r="N270" s="14"/>
      <c r="O270" s="16"/>
      <c r="P270" s="16"/>
      <c r="Q270" s="16"/>
      <c r="R270" s="16"/>
      <c r="S270" s="16"/>
      <c r="T270" s="16"/>
      <c r="U270" s="16"/>
      <c r="V270" s="16"/>
      <c r="W270" s="16"/>
      <c r="X270" s="16"/>
      <c r="Y270" s="16"/>
      <c r="Z270" s="16"/>
      <c r="AA270" s="16"/>
      <c r="AB270" s="16"/>
      <c r="AC270" s="16"/>
      <c r="AD270" s="16"/>
    </row>
    <row r="271" spans="2:30" ht="15.75" customHeight="1">
      <c r="B271" s="14"/>
      <c r="C271" s="14"/>
      <c r="D271" s="14"/>
      <c r="E271" s="14"/>
      <c r="F271" s="14"/>
      <c r="G271" s="14"/>
      <c r="H271" s="14"/>
      <c r="I271" s="14"/>
      <c r="J271" s="14"/>
      <c r="K271" s="14"/>
      <c r="L271" s="14"/>
      <c r="M271" s="14"/>
      <c r="N271" s="14"/>
      <c r="O271" s="16"/>
      <c r="P271" s="16"/>
      <c r="Q271" s="16"/>
      <c r="R271" s="16"/>
      <c r="S271" s="16"/>
      <c r="T271" s="16"/>
      <c r="U271" s="16"/>
      <c r="V271" s="16"/>
      <c r="W271" s="16"/>
      <c r="X271" s="16"/>
      <c r="Y271" s="16"/>
      <c r="Z271" s="16"/>
      <c r="AA271" s="16"/>
      <c r="AB271" s="16"/>
      <c r="AC271" s="16"/>
      <c r="AD271" s="16"/>
    </row>
    <row r="272" spans="2:30" ht="15.75" customHeight="1">
      <c r="B272" s="14"/>
      <c r="C272" s="14"/>
      <c r="D272" s="14"/>
      <c r="E272" s="14"/>
      <c r="F272" s="14"/>
      <c r="G272" s="14"/>
      <c r="H272" s="14"/>
      <c r="I272" s="14"/>
      <c r="J272" s="14"/>
      <c r="K272" s="14"/>
      <c r="L272" s="14"/>
      <c r="M272" s="14"/>
      <c r="N272" s="14"/>
      <c r="O272" s="16"/>
      <c r="P272" s="16"/>
      <c r="Q272" s="16"/>
      <c r="R272" s="16"/>
      <c r="S272" s="16"/>
      <c r="T272" s="16"/>
      <c r="U272" s="16"/>
      <c r="V272" s="16"/>
      <c r="W272" s="16"/>
      <c r="X272" s="16"/>
      <c r="Y272" s="16"/>
      <c r="Z272" s="16"/>
      <c r="AA272" s="16"/>
      <c r="AB272" s="16"/>
      <c r="AC272" s="16"/>
      <c r="AD272" s="16"/>
    </row>
    <row r="273" spans="2:30" ht="15.75" customHeight="1">
      <c r="B273" s="14"/>
      <c r="C273" s="14"/>
      <c r="D273" s="14"/>
      <c r="E273" s="14"/>
      <c r="F273" s="14"/>
      <c r="G273" s="14"/>
      <c r="H273" s="14"/>
      <c r="I273" s="14"/>
      <c r="J273" s="14"/>
      <c r="K273" s="14"/>
      <c r="L273" s="14"/>
      <c r="M273" s="14"/>
      <c r="N273" s="14"/>
      <c r="O273" s="16"/>
      <c r="P273" s="16"/>
      <c r="Q273" s="16"/>
      <c r="R273" s="16"/>
      <c r="S273" s="16"/>
      <c r="T273" s="16"/>
      <c r="U273" s="16"/>
      <c r="V273" s="16"/>
      <c r="W273" s="16"/>
      <c r="X273" s="16"/>
      <c r="Y273" s="16"/>
      <c r="Z273" s="16"/>
      <c r="AA273" s="16"/>
      <c r="AB273" s="16"/>
      <c r="AC273" s="16"/>
      <c r="AD273" s="16"/>
    </row>
    <row r="274" spans="2:30" ht="15.75" customHeight="1">
      <c r="B274" s="14"/>
      <c r="C274" s="14"/>
      <c r="D274" s="14"/>
      <c r="E274" s="14"/>
      <c r="F274" s="14"/>
      <c r="G274" s="14"/>
      <c r="H274" s="14"/>
      <c r="I274" s="14"/>
      <c r="J274" s="14"/>
      <c r="K274" s="14"/>
      <c r="L274" s="14"/>
      <c r="M274" s="14"/>
      <c r="N274" s="14"/>
      <c r="O274" s="16"/>
      <c r="P274" s="16"/>
      <c r="Q274" s="16"/>
      <c r="R274" s="16"/>
      <c r="S274" s="16"/>
      <c r="T274" s="16"/>
      <c r="U274" s="16"/>
      <c r="V274" s="16"/>
      <c r="W274" s="16"/>
      <c r="X274" s="16"/>
      <c r="Y274" s="16"/>
      <c r="Z274" s="16"/>
      <c r="AA274" s="16"/>
      <c r="AB274" s="16"/>
      <c r="AC274" s="16"/>
      <c r="AD274" s="16"/>
    </row>
    <row r="275" spans="2:30" ht="15.75" customHeight="1">
      <c r="B275" s="14"/>
      <c r="C275" s="14"/>
      <c r="D275" s="14"/>
      <c r="E275" s="14"/>
      <c r="F275" s="14"/>
      <c r="G275" s="14"/>
      <c r="H275" s="14"/>
      <c r="I275" s="14"/>
      <c r="J275" s="14"/>
      <c r="K275" s="14"/>
      <c r="L275" s="14"/>
      <c r="M275" s="14"/>
      <c r="N275" s="14"/>
      <c r="O275" s="16"/>
      <c r="P275" s="16"/>
      <c r="Q275" s="16"/>
      <c r="R275" s="16"/>
      <c r="S275" s="16"/>
      <c r="T275" s="16"/>
      <c r="U275" s="16"/>
      <c r="V275" s="16"/>
      <c r="W275" s="16"/>
      <c r="X275" s="16"/>
      <c r="Y275" s="16"/>
      <c r="Z275" s="16"/>
      <c r="AA275" s="16"/>
      <c r="AB275" s="16"/>
      <c r="AC275" s="16"/>
      <c r="AD275" s="16"/>
    </row>
    <row r="276" spans="2:30" ht="15.75" customHeight="1">
      <c r="B276" s="14"/>
      <c r="C276" s="14"/>
      <c r="D276" s="14"/>
      <c r="E276" s="14"/>
      <c r="F276" s="14"/>
      <c r="G276" s="14"/>
      <c r="H276" s="14"/>
      <c r="I276" s="14"/>
      <c r="J276" s="14"/>
      <c r="K276" s="14"/>
      <c r="L276" s="14"/>
      <c r="M276" s="14"/>
      <c r="N276" s="14"/>
      <c r="O276" s="16"/>
      <c r="P276" s="16"/>
      <c r="Q276" s="16"/>
      <c r="R276" s="16"/>
      <c r="S276" s="16"/>
      <c r="T276" s="16"/>
      <c r="U276" s="16"/>
      <c r="V276" s="16"/>
      <c r="W276" s="16"/>
      <c r="X276" s="16"/>
      <c r="Y276" s="16"/>
      <c r="Z276" s="16"/>
      <c r="AA276" s="16"/>
      <c r="AB276" s="16"/>
      <c r="AC276" s="16"/>
      <c r="AD276" s="16"/>
    </row>
    <row r="277" spans="2:30" ht="15.75" customHeight="1">
      <c r="B277" s="14"/>
      <c r="C277" s="14"/>
      <c r="D277" s="14"/>
      <c r="E277" s="14"/>
      <c r="F277" s="14"/>
      <c r="G277" s="14"/>
      <c r="H277" s="14"/>
      <c r="I277" s="14"/>
      <c r="J277" s="14"/>
      <c r="K277" s="14"/>
      <c r="L277" s="14"/>
      <c r="M277" s="14"/>
      <c r="N277" s="14"/>
      <c r="O277" s="16"/>
      <c r="P277" s="16"/>
      <c r="Q277" s="16"/>
      <c r="R277" s="16"/>
      <c r="S277" s="16"/>
      <c r="T277" s="16"/>
      <c r="U277" s="16"/>
      <c r="V277" s="16"/>
      <c r="W277" s="16"/>
      <c r="X277" s="16"/>
      <c r="Y277" s="16"/>
      <c r="Z277" s="16"/>
      <c r="AA277" s="16"/>
      <c r="AB277" s="16"/>
      <c r="AC277" s="16"/>
      <c r="AD277" s="16"/>
    </row>
    <row r="278" spans="2:30" ht="15.75" customHeight="1">
      <c r="B278" s="14"/>
      <c r="C278" s="14"/>
      <c r="D278" s="14"/>
      <c r="E278" s="14"/>
      <c r="F278" s="14"/>
      <c r="G278" s="14"/>
      <c r="H278" s="14"/>
      <c r="I278" s="14"/>
      <c r="J278" s="14"/>
      <c r="K278" s="14"/>
      <c r="L278" s="14"/>
      <c r="M278" s="14"/>
      <c r="N278" s="14"/>
      <c r="O278" s="16"/>
      <c r="P278" s="16"/>
      <c r="Q278" s="16"/>
      <c r="R278" s="16"/>
      <c r="S278" s="16"/>
      <c r="T278" s="16"/>
      <c r="U278" s="16"/>
      <c r="V278" s="16"/>
      <c r="W278" s="16"/>
      <c r="X278" s="16"/>
      <c r="Y278" s="16"/>
      <c r="Z278" s="16"/>
      <c r="AA278" s="16"/>
      <c r="AB278" s="16"/>
      <c r="AC278" s="16"/>
      <c r="AD278" s="16"/>
    </row>
    <row r="279" spans="2:30" ht="15.75" customHeight="1">
      <c r="B279" s="14"/>
      <c r="C279" s="14"/>
      <c r="D279" s="14"/>
      <c r="E279" s="14"/>
      <c r="F279" s="14"/>
      <c r="G279" s="14"/>
      <c r="H279" s="14"/>
      <c r="I279" s="14"/>
      <c r="J279" s="14"/>
      <c r="K279" s="14"/>
      <c r="L279" s="14"/>
      <c r="M279" s="14"/>
      <c r="N279" s="14"/>
      <c r="O279" s="16"/>
      <c r="P279" s="16"/>
      <c r="Q279" s="16"/>
      <c r="R279" s="16"/>
      <c r="S279" s="16"/>
      <c r="T279" s="16"/>
      <c r="U279" s="16"/>
      <c r="V279" s="16"/>
      <c r="W279" s="16"/>
      <c r="X279" s="16"/>
      <c r="Y279" s="16"/>
      <c r="Z279" s="16"/>
      <c r="AA279" s="16"/>
      <c r="AB279" s="16"/>
      <c r="AC279" s="16"/>
      <c r="AD279" s="16"/>
    </row>
    <row r="280" spans="2:30" ht="15.75" customHeight="1">
      <c r="B280" s="14"/>
      <c r="C280" s="14"/>
      <c r="D280" s="14"/>
      <c r="E280" s="14"/>
      <c r="F280" s="14"/>
      <c r="G280" s="14"/>
      <c r="H280" s="14"/>
      <c r="I280" s="14"/>
      <c r="J280" s="14"/>
      <c r="K280" s="14"/>
      <c r="L280" s="14"/>
      <c r="M280" s="14"/>
      <c r="N280" s="14"/>
      <c r="O280" s="16"/>
      <c r="P280" s="16"/>
      <c r="Q280" s="16"/>
      <c r="R280" s="16"/>
      <c r="S280" s="16"/>
      <c r="T280" s="16"/>
      <c r="U280" s="16"/>
      <c r="V280" s="16"/>
      <c r="W280" s="16"/>
      <c r="X280" s="16"/>
      <c r="Y280" s="16"/>
      <c r="Z280" s="16"/>
      <c r="AA280" s="16"/>
      <c r="AB280" s="16"/>
      <c r="AC280" s="16"/>
      <c r="AD280" s="16"/>
    </row>
    <row r="281" spans="2:30" ht="15.75" customHeight="1">
      <c r="B281" s="14"/>
      <c r="C281" s="14"/>
      <c r="D281" s="14"/>
      <c r="E281" s="14"/>
      <c r="F281" s="14"/>
      <c r="G281" s="14"/>
      <c r="H281" s="14"/>
      <c r="I281" s="14"/>
      <c r="J281" s="14"/>
      <c r="K281" s="14"/>
      <c r="L281" s="14"/>
      <c r="M281" s="14"/>
      <c r="N281" s="14"/>
      <c r="O281" s="16"/>
      <c r="P281" s="16"/>
      <c r="Q281" s="16"/>
      <c r="R281" s="16"/>
      <c r="S281" s="16"/>
      <c r="T281" s="16"/>
      <c r="U281" s="16"/>
      <c r="V281" s="16"/>
      <c r="W281" s="16"/>
      <c r="X281" s="16"/>
      <c r="Y281" s="16"/>
      <c r="Z281" s="16"/>
      <c r="AA281" s="16"/>
      <c r="AB281" s="16"/>
      <c r="AC281" s="16"/>
      <c r="AD281" s="16"/>
    </row>
    <row r="282" spans="2:30" ht="15.75" customHeight="1">
      <c r="B282" s="14"/>
      <c r="C282" s="14"/>
      <c r="D282" s="14"/>
      <c r="E282" s="14"/>
      <c r="F282" s="14"/>
      <c r="G282" s="14"/>
      <c r="H282" s="14"/>
      <c r="I282" s="14"/>
      <c r="J282" s="14"/>
      <c r="K282" s="14"/>
      <c r="L282" s="14"/>
      <c r="M282" s="14"/>
      <c r="N282" s="14"/>
      <c r="O282" s="16"/>
      <c r="P282" s="16"/>
      <c r="Q282" s="16"/>
      <c r="R282" s="16"/>
      <c r="S282" s="16"/>
      <c r="T282" s="16"/>
      <c r="U282" s="16"/>
      <c r="V282" s="16"/>
      <c r="W282" s="16"/>
      <c r="X282" s="16"/>
      <c r="Y282" s="16"/>
      <c r="Z282" s="16"/>
      <c r="AA282" s="16"/>
      <c r="AB282" s="16"/>
      <c r="AC282" s="16"/>
      <c r="AD282" s="16"/>
    </row>
    <row r="283" spans="2:30" ht="15.75" customHeight="1">
      <c r="B283" s="14"/>
      <c r="C283" s="14"/>
      <c r="D283" s="14"/>
      <c r="E283" s="14"/>
      <c r="F283" s="14"/>
      <c r="G283" s="14"/>
      <c r="H283" s="14"/>
      <c r="I283" s="14"/>
      <c r="J283" s="14"/>
      <c r="K283" s="14"/>
      <c r="L283" s="14"/>
      <c r="M283" s="14"/>
      <c r="N283" s="14"/>
      <c r="O283" s="16"/>
      <c r="P283" s="16"/>
      <c r="Q283" s="16"/>
      <c r="R283" s="16"/>
      <c r="S283" s="16"/>
      <c r="T283" s="16"/>
      <c r="U283" s="16"/>
      <c r="V283" s="16"/>
      <c r="W283" s="16"/>
      <c r="X283" s="16"/>
      <c r="Y283" s="16"/>
      <c r="Z283" s="16"/>
      <c r="AA283" s="16"/>
      <c r="AB283" s="16"/>
      <c r="AC283" s="16"/>
      <c r="AD283" s="16"/>
    </row>
    <row r="284" spans="2:30" ht="15.75" customHeight="1">
      <c r="B284" s="14"/>
      <c r="C284" s="14"/>
      <c r="D284" s="14"/>
      <c r="E284" s="14"/>
      <c r="F284" s="14"/>
      <c r="G284" s="14"/>
      <c r="H284" s="14"/>
      <c r="I284" s="14"/>
      <c r="J284" s="14"/>
      <c r="K284" s="14"/>
      <c r="L284" s="14"/>
      <c r="M284" s="14"/>
      <c r="N284" s="14"/>
      <c r="O284" s="16"/>
      <c r="P284" s="16"/>
      <c r="Q284" s="16"/>
      <c r="R284" s="16"/>
      <c r="S284" s="16"/>
      <c r="T284" s="16"/>
      <c r="U284" s="16"/>
      <c r="V284" s="16"/>
      <c r="W284" s="16"/>
      <c r="X284" s="16"/>
      <c r="Y284" s="16"/>
      <c r="Z284" s="16"/>
      <c r="AA284" s="16"/>
      <c r="AB284" s="16"/>
      <c r="AC284" s="16"/>
      <c r="AD284" s="16"/>
    </row>
    <row r="285" spans="2:30" ht="15.75" customHeight="1">
      <c r="B285" s="14"/>
      <c r="C285" s="14"/>
      <c r="D285" s="14"/>
      <c r="E285" s="14"/>
      <c r="F285" s="14"/>
      <c r="G285" s="14"/>
      <c r="H285" s="14"/>
      <c r="I285" s="14"/>
      <c r="J285" s="14"/>
      <c r="K285" s="14"/>
      <c r="L285" s="14"/>
      <c r="M285" s="14"/>
      <c r="N285" s="14"/>
      <c r="O285" s="16"/>
      <c r="P285" s="16"/>
      <c r="Q285" s="16"/>
      <c r="R285" s="16"/>
      <c r="S285" s="16"/>
      <c r="T285" s="16"/>
      <c r="U285" s="16"/>
      <c r="V285" s="16"/>
      <c r="W285" s="16"/>
      <c r="X285" s="16"/>
      <c r="Y285" s="16"/>
      <c r="Z285" s="16"/>
      <c r="AA285" s="16"/>
      <c r="AB285" s="16"/>
      <c r="AC285" s="16"/>
      <c r="AD285" s="16"/>
    </row>
    <row r="286" spans="2:30" ht="15.75" customHeight="1">
      <c r="B286" s="14"/>
      <c r="C286" s="14"/>
      <c r="D286" s="14"/>
      <c r="E286" s="14"/>
      <c r="F286" s="14"/>
      <c r="G286" s="14"/>
      <c r="H286" s="14"/>
      <c r="I286" s="14"/>
      <c r="J286" s="14"/>
      <c r="K286" s="14"/>
      <c r="L286" s="14"/>
      <c r="M286" s="14"/>
      <c r="N286" s="14"/>
      <c r="O286" s="16"/>
      <c r="P286" s="16"/>
      <c r="Q286" s="16"/>
      <c r="R286" s="16"/>
      <c r="S286" s="16"/>
      <c r="T286" s="16"/>
      <c r="U286" s="16"/>
      <c r="V286" s="16"/>
      <c r="W286" s="16"/>
      <c r="X286" s="16"/>
      <c r="Y286" s="16"/>
      <c r="Z286" s="16"/>
      <c r="AA286" s="16"/>
      <c r="AB286" s="16"/>
      <c r="AC286" s="16"/>
      <c r="AD286" s="16"/>
    </row>
    <row r="287" spans="2:30" ht="15.75" customHeight="1">
      <c r="B287" s="14"/>
      <c r="C287" s="14"/>
      <c r="D287" s="14"/>
      <c r="E287" s="14"/>
      <c r="F287" s="14"/>
      <c r="G287" s="14"/>
      <c r="H287" s="14"/>
      <c r="I287" s="14"/>
      <c r="J287" s="14"/>
      <c r="K287" s="14"/>
      <c r="L287" s="14"/>
      <c r="M287" s="14"/>
      <c r="N287" s="14"/>
      <c r="O287" s="16"/>
      <c r="P287" s="16"/>
      <c r="Q287" s="16"/>
      <c r="R287" s="16"/>
      <c r="S287" s="16"/>
      <c r="T287" s="16"/>
      <c r="U287" s="16"/>
      <c r="V287" s="16"/>
      <c r="W287" s="16"/>
      <c r="X287" s="16"/>
      <c r="Y287" s="16"/>
      <c r="Z287" s="16"/>
      <c r="AA287" s="16"/>
      <c r="AB287" s="16"/>
      <c r="AC287" s="16"/>
      <c r="AD287" s="16"/>
    </row>
    <row r="288" spans="2:30" ht="15.75" customHeight="1">
      <c r="B288" s="14"/>
      <c r="C288" s="14"/>
      <c r="D288" s="14"/>
      <c r="E288" s="14"/>
      <c r="F288" s="14"/>
      <c r="G288" s="14"/>
      <c r="H288" s="14"/>
      <c r="I288" s="14"/>
      <c r="J288" s="14"/>
      <c r="K288" s="14"/>
      <c r="L288" s="14"/>
      <c r="M288" s="14"/>
      <c r="N288" s="14"/>
      <c r="O288" s="16"/>
      <c r="P288" s="16"/>
      <c r="Q288" s="16"/>
      <c r="R288" s="16"/>
      <c r="S288" s="16"/>
      <c r="T288" s="16"/>
      <c r="U288" s="16"/>
      <c r="V288" s="16"/>
      <c r="W288" s="16"/>
      <c r="X288" s="16"/>
      <c r="Y288" s="16"/>
      <c r="Z288" s="16"/>
      <c r="AA288" s="16"/>
      <c r="AB288" s="16"/>
      <c r="AC288" s="16"/>
      <c r="AD288" s="16"/>
    </row>
    <row r="289" spans="2:30" ht="15.75" customHeight="1">
      <c r="B289" s="14"/>
      <c r="C289" s="14"/>
      <c r="D289" s="14"/>
      <c r="E289" s="14"/>
      <c r="F289" s="14"/>
      <c r="G289" s="14"/>
      <c r="H289" s="14"/>
      <c r="I289" s="14"/>
      <c r="J289" s="14"/>
      <c r="K289" s="14"/>
      <c r="L289" s="14"/>
      <c r="M289" s="14"/>
      <c r="N289" s="14"/>
      <c r="O289" s="16"/>
      <c r="P289" s="16"/>
      <c r="Q289" s="16"/>
      <c r="R289" s="16"/>
      <c r="S289" s="16"/>
      <c r="T289" s="16"/>
      <c r="U289" s="16"/>
      <c r="V289" s="16"/>
      <c r="W289" s="16"/>
      <c r="X289" s="16"/>
      <c r="Y289" s="16"/>
      <c r="Z289" s="16"/>
      <c r="AA289" s="16"/>
      <c r="AB289" s="16"/>
      <c r="AC289" s="16"/>
      <c r="AD289" s="16"/>
    </row>
    <row r="290" spans="2:30" ht="15.75" customHeight="1">
      <c r="B290" s="14"/>
      <c r="C290" s="14"/>
      <c r="D290" s="14"/>
      <c r="E290" s="14"/>
      <c r="F290" s="14"/>
      <c r="G290" s="14"/>
      <c r="H290" s="14"/>
      <c r="I290" s="14"/>
      <c r="J290" s="14"/>
      <c r="K290" s="14"/>
      <c r="L290" s="14"/>
      <c r="M290" s="14"/>
      <c r="N290" s="14"/>
      <c r="O290" s="16"/>
      <c r="P290" s="16"/>
      <c r="Q290" s="16"/>
      <c r="R290" s="16"/>
      <c r="S290" s="16"/>
      <c r="T290" s="16"/>
      <c r="U290" s="16"/>
      <c r="V290" s="16"/>
      <c r="W290" s="16"/>
      <c r="X290" s="16"/>
      <c r="Y290" s="16"/>
      <c r="Z290" s="16"/>
      <c r="AA290" s="16"/>
      <c r="AB290" s="16"/>
      <c r="AC290" s="16"/>
      <c r="AD290" s="16"/>
    </row>
    <row r="291" spans="2:30" ht="15.75" customHeight="1">
      <c r="B291" s="14"/>
      <c r="C291" s="14"/>
      <c r="D291" s="14"/>
      <c r="E291" s="14"/>
      <c r="F291" s="14"/>
      <c r="G291" s="14"/>
      <c r="H291" s="14"/>
      <c r="I291" s="14"/>
      <c r="J291" s="14"/>
      <c r="K291" s="14"/>
      <c r="L291" s="14"/>
      <c r="M291" s="14"/>
      <c r="N291" s="14"/>
      <c r="O291" s="16"/>
      <c r="P291" s="16"/>
      <c r="Q291" s="16"/>
      <c r="R291" s="16"/>
      <c r="S291" s="16"/>
      <c r="T291" s="16"/>
      <c r="U291" s="16"/>
      <c r="V291" s="16"/>
      <c r="W291" s="16"/>
      <c r="X291" s="16"/>
      <c r="Y291" s="16"/>
      <c r="Z291" s="16"/>
      <c r="AA291" s="16"/>
      <c r="AB291" s="16"/>
      <c r="AC291" s="16"/>
      <c r="AD291" s="16"/>
    </row>
    <row r="292" spans="2:30" ht="15.75" customHeight="1">
      <c r="B292" s="14"/>
      <c r="C292" s="14"/>
      <c r="D292" s="14"/>
      <c r="E292" s="14"/>
      <c r="F292" s="14"/>
      <c r="G292" s="14"/>
      <c r="H292" s="14"/>
      <c r="I292" s="14"/>
      <c r="J292" s="14"/>
      <c r="K292" s="14"/>
      <c r="L292" s="14"/>
      <c r="M292" s="14"/>
      <c r="N292" s="14"/>
      <c r="O292" s="16"/>
      <c r="P292" s="16"/>
      <c r="Q292" s="16"/>
      <c r="R292" s="16"/>
      <c r="S292" s="16"/>
      <c r="T292" s="16"/>
      <c r="U292" s="16"/>
      <c r="V292" s="16"/>
      <c r="W292" s="16"/>
      <c r="X292" s="16"/>
      <c r="Y292" s="16"/>
      <c r="Z292" s="16"/>
      <c r="AA292" s="16"/>
      <c r="AB292" s="16"/>
      <c r="AC292" s="16"/>
      <c r="AD292" s="16"/>
    </row>
    <row r="293" spans="2:30" ht="15.75" customHeight="1">
      <c r="B293" s="14"/>
      <c r="C293" s="14"/>
      <c r="D293" s="14"/>
      <c r="E293" s="14"/>
      <c r="F293" s="14"/>
      <c r="G293" s="14"/>
      <c r="H293" s="14"/>
      <c r="I293" s="14"/>
      <c r="J293" s="14"/>
      <c r="K293" s="14"/>
      <c r="L293" s="14"/>
      <c r="M293" s="14"/>
      <c r="N293" s="14"/>
      <c r="O293" s="16"/>
      <c r="P293" s="16"/>
      <c r="Q293" s="16"/>
      <c r="R293" s="16"/>
      <c r="S293" s="16"/>
      <c r="T293" s="16"/>
      <c r="U293" s="16"/>
      <c r="V293" s="16"/>
      <c r="W293" s="16"/>
      <c r="X293" s="16"/>
      <c r="Y293" s="16"/>
      <c r="Z293" s="16"/>
      <c r="AA293" s="16"/>
      <c r="AB293" s="16"/>
      <c r="AC293" s="16"/>
      <c r="AD293" s="16"/>
    </row>
    <row r="294" spans="2:30" ht="15.75" customHeight="1">
      <c r="B294" s="14"/>
      <c r="C294" s="14"/>
      <c r="D294" s="14"/>
      <c r="E294" s="14"/>
      <c r="F294" s="14"/>
      <c r="G294" s="14"/>
      <c r="H294" s="14"/>
      <c r="I294" s="14"/>
      <c r="J294" s="14"/>
      <c r="K294" s="14"/>
      <c r="L294" s="14"/>
      <c r="M294" s="14"/>
      <c r="N294" s="14"/>
      <c r="O294" s="16"/>
      <c r="P294" s="16"/>
      <c r="Q294" s="16"/>
      <c r="R294" s="16"/>
      <c r="S294" s="16"/>
      <c r="T294" s="16"/>
      <c r="U294" s="16"/>
      <c r="V294" s="16"/>
      <c r="W294" s="16"/>
      <c r="X294" s="16"/>
      <c r="Y294" s="16"/>
      <c r="Z294" s="16"/>
      <c r="AA294" s="16"/>
      <c r="AB294" s="16"/>
      <c r="AC294" s="16"/>
      <c r="AD294" s="16"/>
    </row>
    <row r="295" spans="2:30" ht="15.75" customHeight="1">
      <c r="B295" s="14"/>
      <c r="C295" s="14"/>
      <c r="D295" s="14"/>
      <c r="E295" s="14"/>
      <c r="F295" s="14"/>
      <c r="G295" s="14"/>
      <c r="H295" s="14"/>
      <c r="I295" s="14"/>
      <c r="J295" s="14"/>
      <c r="K295" s="14"/>
      <c r="L295" s="14"/>
      <c r="M295" s="14"/>
      <c r="N295" s="14"/>
      <c r="O295" s="16"/>
      <c r="P295" s="16"/>
      <c r="Q295" s="16"/>
      <c r="R295" s="16"/>
      <c r="S295" s="16"/>
      <c r="T295" s="16"/>
      <c r="U295" s="16"/>
      <c r="V295" s="16"/>
      <c r="W295" s="16"/>
      <c r="X295" s="16"/>
      <c r="Y295" s="16"/>
      <c r="Z295" s="16"/>
      <c r="AA295" s="16"/>
      <c r="AB295" s="16"/>
      <c r="AC295" s="16"/>
      <c r="AD295" s="16"/>
    </row>
    <row r="296" spans="2:30" ht="15.75" customHeight="1">
      <c r="B296" s="14"/>
      <c r="C296" s="14"/>
      <c r="D296" s="14"/>
      <c r="E296" s="14"/>
      <c r="F296" s="14"/>
      <c r="G296" s="14"/>
      <c r="H296" s="14"/>
      <c r="I296" s="14"/>
      <c r="J296" s="14"/>
      <c r="K296" s="14"/>
      <c r="L296" s="14"/>
      <c r="M296" s="14"/>
      <c r="N296" s="14"/>
      <c r="O296" s="16"/>
      <c r="P296" s="16"/>
      <c r="Q296" s="16"/>
      <c r="R296" s="16"/>
      <c r="S296" s="16"/>
      <c r="T296" s="16"/>
      <c r="U296" s="16"/>
      <c r="V296" s="16"/>
      <c r="W296" s="16"/>
      <c r="X296" s="16"/>
      <c r="Y296" s="16"/>
      <c r="Z296" s="16"/>
      <c r="AA296" s="16"/>
      <c r="AB296" s="16"/>
      <c r="AC296" s="16"/>
      <c r="AD296" s="16"/>
    </row>
    <row r="297" spans="2:30" ht="15.75" customHeight="1">
      <c r="B297" s="14"/>
      <c r="C297" s="14"/>
      <c r="D297" s="14"/>
      <c r="E297" s="14"/>
      <c r="F297" s="14"/>
      <c r="G297" s="14"/>
      <c r="H297" s="14"/>
      <c r="I297" s="14"/>
      <c r="J297" s="14"/>
      <c r="K297" s="14"/>
      <c r="L297" s="14"/>
      <c r="M297" s="14"/>
      <c r="N297" s="14"/>
      <c r="O297" s="16"/>
      <c r="P297" s="16"/>
      <c r="Q297" s="16"/>
      <c r="R297" s="16"/>
      <c r="S297" s="16"/>
      <c r="T297" s="16"/>
      <c r="U297" s="16"/>
      <c r="V297" s="16"/>
      <c r="W297" s="16"/>
      <c r="X297" s="16"/>
      <c r="Y297" s="16"/>
      <c r="Z297" s="16"/>
      <c r="AA297" s="16"/>
      <c r="AB297" s="16"/>
      <c r="AC297" s="16"/>
      <c r="AD297" s="16"/>
    </row>
    <row r="298" spans="2:30" ht="15.75" customHeight="1">
      <c r="B298" s="14"/>
      <c r="C298" s="14"/>
      <c r="D298" s="14"/>
      <c r="E298" s="14"/>
      <c r="F298" s="14"/>
      <c r="G298" s="14"/>
      <c r="H298" s="14"/>
      <c r="I298" s="14"/>
      <c r="J298" s="14"/>
      <c r="K298" s="14"/>
      <c r="L298" s="14"/>
      <c r="M298" s="14"/>
      <c r="N298" s="14"/>
      <c r="O298" s="16"/>
      <c r="P298" s="16"/>
      <c r="Q298" s="16"/>
      <c r="R298" s="16"/>
      <c r="S298" s="16"/>
      <c r="T298" s="16"/>
      <c r="U298" s="16"/>
      <c r="V298" s="16"/>
      <c r="W298" s="16"/>
      <c r="X298" s="16"/>
      <c r="Y298" s="16"/>
      <c r="Z298" s="16"/>
      <c r="AA298" s="16"/>
      <c r="AB298" s="16"/>
      <c r="AC298" s="16"/>
      <c r="AD298" s="16"/>
    </row>
    <row r="299" spans="2:30" ht="15.75" customHeight="1">
      <c r="B299" s="14"/>
      <c r="C299" s="14"/>
      <c r="D299" s="14"/>
      <c r="E299" s="14"/>
      <c r="F299" s="14"/>
      <c r="G299" s="14"/>
      <c r="H299" s="14"/>
      <c r="I299" s="14"/>
      <c r="J299" s="14"/>
      <c r="K299" s="14"/>
      <c r="L299" s="14"/>
      <c r="M299" s="14"/>
      <c r="N299" s="14"/>
      <c r="O299" s="16"/>
      <c r="P299" s="16"/>
      <c r="Q299" s="16"/>
      <c r="R299" s="16"/>
      <c r="S299" s="16"/>
      <c r="T299" s="16"/>
      <c r="U299" s="16"/>
      <c r="V299" s="16"/>
      <c r="W299" s="16"/>
      <c r="X299" s="16"/>
      <c r="Y299" s="16"/>
      <c r="Z299" s="16"/>
      <c r="AA299" s="16"/>
      <c r="AB299" s="16"/>
      <c r="AC299" s="16"/>
      <c r="AD299" s="16"/>
    </row>
    <row r="300" spans="2:30" ht="15.75" customHeight="1">
      <c r="B300" s="14"/>
      <c r="C300" s="14"/>
      <c r="D300" s="14"/>
      <c r="E300" s="14"/>
      <c r="F300" s="14"/>
      <c r="G300" s="14"/>
      <c r="H300" s="14"/>
      <c r="I300" s="14"/>
      <c r="J300" s="14"/>
      <c r="K300" s="14"/>
      <c r="L300" s="14"/>
      <c r="M300" s="14"/>
      <c r="N300" s="14"/>
      <c r="O300" s="16"/>
      <c r="P300" s="16"/>
      <c r="Q300" s="16"/>
      <c r="R300" s="16"/>
      <c r="S300" s="16"/>
      <c r="T300" s="16"/>
      <c r="U300" s="16"/>
      <c r="V300" s="16"/>
      <c r="W300" s="16"/>
      <c r="X300" s="16"/>
      <c r="Y300" s="16"/>
      <c r="Z300" s="16"/>
      <c r="AA300" s="16"/>
      <c r="AB300" s="16"/>
      <c r="AC300" s="16"/>
      <c r="AD300" s="16"/>
    </row>
    <row r="301" spans="2:30" ht="15.75" customHeight="1">
      <c r="B301" s="14"/>
      <c r="C301" s="14"/>
      <c r="D301" s="14"/>
      <c r="E301" s="14"/>
      <c r="F301" s="14"/>
      <c r="G301" s="14"/>
      <c r="H301" s="14"/>
      <c r="I301" s="14"/>
      <c r="J301" s="14"/>
      <c r="K301" s="14"/>
      <c r="L301" s="14"/>
      <c r="M301" s="14"/>
      <c r="N301" s="14"/>
      <c r="O301" s="16"/>
      <c r="P301" s="16"/>
      <c r="Q301" s="16"/>
      <c r="R301" s="16"/>
      <c r="S301" s="16"/>
      <c r="T301" s="16"/>
      <c r="U301" s="16"/>
      <c r="V301" s="16"/>
      <c r="W301" s="16"/>
      <c r="X301" s="16"/>
      <c r="Y301" s="16"/>
      <c r="Z301" s="16"/>
      <c r="AA301" s="16"/>
      <c r="AB301" s="16"/>
      <c r="AC301" s="16"/>
      <c r="AD301" s="16"/>
    </row>
    <row r="302" spans="2:30" ht="15.75" customHeight="1">
      <c r="B302" s="14"/>
      <c r="C302" s="14"/>
      <c r="D302" s="14"/>
      <c r="E302" s="14"/>
      <c r="F302" s="14"/>
      <c r="G302" s="14"/>
      <c r="H302" s="14"/>
      <c r="I302" s="14"/>
      <c r="J302" s="14"/>
      <c r="K302" s="14"/>
      <c r="L302" s="14"/>
      <c r="M302" s="14"/>
      <c r="N302" s="14"/>
      <c r="O302" s="16"/>
      <c r="P302" s="16"/>
      <c r="Q302" s="16"/>
      <c r="R302" s="16"/>
      <c r="S302" s="16"/>
      <c r="T302" s="16"/>
      <c r="U302" s="16"/>
      <c r="V302" s="16"/>
      <c r="W302" s="16"/>
      <c r="X302" s="16"/>
      <c r="Y302" s="16"/>
      <c r="Z302" s="16"/>
      <c r="AA302" s="16"/>
      <c r="AB302" s="16"/>
      <c r="AC302" s="16"/>
      <c r="AD302" s="16"/>
    </row>
    <row r="303" spans="2:30" ht="15.75" customHeight="1">
      <c r="B303" s="14"/>
      <c r="C303" s="14"/>
      <c r="D303" s="14"/>
      <c r="E303" s="14"/>
      <c r="F303" s="14"/>
      <c r="G303" s="14"/>
      <c r="H303" s="14"/>
      <c r="I303" s="14"/>
      <c r="J303" s="14"/>
      <c r="K303" s="14"/>
      <c r="L303" s="14"/>
      <c r="M303" s="14"/>
      <c r="N303" s="14"/>
      <c r="O303" s="16"/>
      <c r="P303" s="16"/>
      <c r="Q303" s="16"/>
      <c r="R303" s="16"/>
      <c r="S303" s="16"/>
      <c r="T303" s="16"/>
      <c r="U303" s="16"/>
      <c r="V303" s="16"/>
      <c r="W303" s="16"/>
      <c r="X303" s="16"/>
      <c r="Y303" s="16"/>
      <c r="Z303" s="16"/>
      <c r="AA303" s="16"/>
      <c r="AB303" s="16"/>
      <c r="AC303" s="16"/>
      <c r="AD303" s="16"/>
    </row>
    <row r="304" spans="2:30" ht="15.75" customHeight="1">
      <c r="B304" s="14"/>
      <c r="C304" s="14"/>
      <c r="D304" s="14"/>
      <c r="E304" s="14"/>
      <c r="F304" s="14"/>
      <c r="G304" s="14"/>
      <c r="H304" s="14"/>
      <c r="I304" s="14"/>
      <c r="J304" s="14"/>
      <c r="K304" s="14"/>
      <c r="L304" s="14"/>
      <c r="M304" s="14"/>
      <c r="N304" s="14"/>
      <c r="O304" s="16"/>
      <c r="P304" s="16"/>
      <c r="Q304" s="16"/>
      <c r="R304" s="16"/>
      <c r="S304" s="16"/>
      <c r="T304" s="16"/>
      <c r="U304" s="16"/>
      <c r="V304" s="16"/>
      <c r="W304" s="16"/>
      <c r="X304" s="16"/>
      <c r="Y304" s="16"/>
      <c r="Z304" s="16"/>
      <c r="AA304" s="16"/>
      <c r="AB304" s="16"/>
      <c r="AC304" s="16"/>
      <c r="AD304" s="16"/>
    </row>
    <row r="305" spans="2:30" ht="15.75" customHeight="1">
      <c r="B305" s="14"/>
      <c r="C305" s="14"/>
      <c r="D305" s="14"/>
      <c r="E305" s="14"/>
      <c r="F305" s="14"/>
      <c r="G305" s="14"/>
      <c r="H305" s="14"/>
      <c r="I305" s="14"/>
      <c r="J305" s="14"/>
      <c r="K305" s="14"/>
      <c r="L305" s="14"/>
      <c r="M305" s="14"/>
      <c r="N305" s="14"/>
      <c r="O305" s="16"/>
      <c r="P305" s="16"/>
      <c r="Q305" s="16"/>
      <c r="R305" s="16"/>
      <c r="S305" s="16"/>
      <c r="T305" s="16"/>
      <c r="U305" s="16"/>
      <c r="V305" s="16"/>
      <c r="W305" s="16"/>
      <c r="X305" s="16"/>
      <c r="Y305" s="16"/>
      <c r="Z305" s="16"/>
      <c r="AA305" s="16"/>
      <c r="AB305" s="16"/>
      <c r="AC305" s="16"/>
      <c r="AD305" s="16"/>
    </row>
    <row r="306" spans="2:30" ht="15.75" customHeight="1">
      <c r="B306" s="14"/>
      <c r="C306" s="14"/>
      <c r="D306" s="14"/>
      <c r="E306" s="14"/>
      <c r="F306" s="14"/>
      <c r="G306" s="14"/>
      <c r="H306" s="14"/>
      <c r="I306" s="14"/>
      <c r="J306" s="14"/>
      <c r="K306" s="14"/>
      <c r="L306" s="14"/>
      <c r="M306" s="14"/>
      <c r="N306" s="14"/>
      <c r="O306" s="16"/>
      <c r="P306" s="16"/>
      <c r="Q306" s="16"/>
      <c r="R306" s="16"/>
      <c r="S306" s="16"/>
      <c r="T306" s="16"/>
      <c r="U306" s="16"/>
      <c r="V306" s="16"/>
      <c r="W306" s="16"/>
      <c r="X306" s="16"/>
      <c r="Y306" s="16"/>
      <c r="Z306" s="16"/>
      <c r="AA306" s="16"/>
      <c r="AB306" s="16"/>
      <c r="AC306" s="16"/>
      <c r="AD306" s="16"/>
    </row>
    <row r="307" spans="2:30" ht="15.75" customHeight="1">
      <c r="B307" s="14"/>
      <c r="C307" s="14"/>
      <c r="D307" s="14"/>
      <c r="E307" s="14"/>
      <c r="F307" s="14"/>
      <c r="G307" s="14"/>
      <c r="H307" s="14"/>
      <c r="I307" s="14"/>
      <c r="J307" s="14"/>
      <c r="K307" s="14"/>
      <c r="L307" s="14"/>
      <c r="M307" s="14"/>
      <c r="N307" s="14"/>
      <c r="O307" s="16"/>
      <c r="P307" s="16"/>
      <c r="Q307" s="16"/>
      <c r="R307" s="16"/>
      <c r="S307" s="16"/>
      <c r="T307" s="16"/>
      <c r="U307" s="16"/>
      <c r="V307" s="16"/>
      <c r="W307" s="16"/>
      <c r="X307" s="16"/>
      <c r="Y307" s="16"/>
      <c r="Z307" s="16"/>
      <c r="AA307" s="16"/>
      <c r="AB307" s="16"/>
      <c r="AC307" s="16"/>
      <c r="AD307" s="16"/>
    </row>
    <row r="308" spans="2:30" ht="15.75" customHeight="1">
      <c r="B308" s="14"/>
      <c r="C308" s="14"/>
      <c r="D308" s="14"/>
      <c r="E308" s="14"/>
      <c r="F308" s="14"/>
      <c r="G308" s="14"/>
      <c r="H308" s="14"/>
      <c r="I308" s="14"/>
      <c r="J308" s="14"/>
      <c r="K308" s="14"/>
      <c r="L308" s="14"/>
      <c r="M308" s="14"/>
      <c r="N308" s="14"/>
      <c r="O308" s="16"/>
      <c r="P308" s="16"/>
      <c r="Q308" s="16"/>
      <c r="R308" s="16"/>
      <c r="S308" s="16"/>
      <c r="T308" s="16"/>
      <c r="U308" s="16"/>
      <c r="V308" s="16"/>
      <c r="W308" s="16"/>
      <c r="X308" s="16"/>
      <c r="Y308" s="16"/>
      <c r="Z308" s="16"/>
      <c r="AA308" s="16"/>
      <c r="AB308" s="16"/>
      <c r="AC308" s="16"/>
      <c r="AD308" s="16"/>
    </row>
    <row r="309" spans="2:30" ht="15.75" customHeight="1">
      <c r="B309" s="14"/>
      <c r="C309" s="14"/>
      <c r="D309" s="14"/>
      <c r="E309" s="14"/>
      <c r="F309" s="14"/>
      <c r="G309" s="14"/>
      <c r="H309" s="14"/>
      <c r="I309" s="14"/>
      <c r="J309" s="14"/>
      <c r="K309" s="14"/>
      <c r="L309" s="14"/>
      <c r="M309" s="14"/>
      <c r="N309" s="14"/>
      <c r="O309" s="16"/>
      <c r="P309" s="16"/>
      <c r="Q309" s="16"/>
      <c r="R309" s="16"/>
      <c r="S309" s="16"/>
      <c r="T309" s="16"/>
      <c r="U309" s="16"/>
      <c r="V309" s="16"/>
      <c r="W309" s="16"/>
      <c r="X309" s="16"/>
      <c r="Y309" s="16"/>
      <c r="Z309" s="16"/>
      <c r="AA309" s="16"/>
      <c r="AB309" s="16"/>
      <c r="AC309" s="16"/>
      <c r="AD309" s="16"/>
    </row>
    <row r="310" spans="2:30" ht="15.75" customHeight="1">
      <c r="B310" s="14"/>
      <c r="C310" s="14"/>
      <c r="D310" s="14"/>
      <c r="E310" s="14"/>
      <c r="F310" s="14"/>
      <c r="G310" s="14"/>
      <c r="H310" s="14"/>
      <c r="I310" s="14"/>
      <c r="J310" s="14"/>
      <c r="K310" s="14"/>
      <c r="L310" s="14"/>
      <c r="M310" s="14"/>
      <c r="N310" s="14"/>
      <c r="O310" s="16"/>
      <c r="P310" s="16"/>
      <c r="Q310" s="16"/>
      <c r="R310" s="16"/>
      <c r="S310" s="16"/>
      <c r="T310" s="16"/>
      <c r="U310" s="16"/>
      <c r="V310" s="16"/>
      <c r="W310" s="16"/>
      <c r="X310" s="16"/>
      <c r="Y310" s="16"/>
      <c r="Z310" s="16"/>
      <c r="AA310" s="16"/>
      <c r="AB310" s="16"/>
      <c r="AC310" s="16"/>
      <c r="AD310" s="16"/>
    </row>
    <row r="311" spans="2:30" ht="15.75" customHeight="1">
      <c r="B311" s="14"/>
      <c r="C311" s="14"/>
      <c r="D311" s="14"/>
      <c r="E311" s="14"/>
      <c r="F311" s="14"/>
      <c r="G311" s="14"/>
      <c r="H311" s="14"/>
      <c r="I311" s="14"/>
      <c r="J311" s="14"/>
      <c r="K311" s="14"/>
      <c r="L311" s="14"/>
      <c r="M311" s="14"/>
      <c r="N311" s="14"/>
      <c r="O311" s="16"/>
      <c r="P311" s="16"/>
      <c r="Q311" s="16"/>
      <c r="R311" s="16"/>
      <c r="S311" s="16"/>
      <c r="T311" s="16"/>
      <c r="U311" s="16"/>
      <c r="V311" s="16"/>
      <c r="W311" s="16"/>
      <c r="X311" s="16"/>
      <c r="Y311" s="16"/>
      <c r="Z311" s="16"/>
      <c r="AA311" s="16"/>
      <c r="AB311" s="16"/>
      <c r="AC311" s="16"/>
      <c r="AD311" s="16"/>
    </row>
    <row r="312" spans="2:30" ht="15.75" customHeight="1">
      <c r="B312" s="14"/>
      <c r="C312" s="14"/>
      <c r="D312" s="14"/>
      <c r="E312" s="14"/>
      <c r="F312" s="14"/>
      <c r="G312" s="14"/>
      <c r="H312" s="14"/>
      <c r="I312" s="14"/>
      <c r="J312" s="14"/>
      <c r="K312" s="14"/>
      <c r="L312" s="14"/>
      <c r="M312" s="14"/>
      <c r="N312" s="14"/>
      <c r="O312" s="16"/>
      <c r="P312" s="16"/>
      <c r="Q312" s="16"/>
      <c r="R312" s="16"/>
      <c r="S312" s="16"/>
      <c r="T312" s="16"/>
      <c r="U312" s="16"/>
      <c r="V312" s="16"/>
      <c r="W312" s="16"/>
      <c r="X312" s="16"/>
      <c r="Y312" s="16"/>
      <c r="Z312" s="16"/>
      <c r="AA312" s="16"/>
      <c r="AB312" s="16"/>
      <c r="AC312" s="16"/>
      <c r="AD312" s="16"/>
    </row>
    <row r="313" spans="2:30" ht="15.75" customHeight="1">
      <c r="B313" s="14"/>
      <c r="C313" s="14"/>
      <c r="D313" s="14"/>
      <c r="E313" s="14"/>
      <c r="F313" s="14"/>
      <c r="G313" s="14"/>
      <c r="H313" s="14"/>
      <c r="I313" s="14"/>
      <c r="J313" s="14"/>
      <c r="K313" s="14"/>
      <c r="L313" s="14"/>
      <c r="M313" s="14"/>
      <c r="N313" s="14"/>
      <c r="O313" s="16"/>
      <c r="P313" s="16"/>
      <c r="Q313" s="16"/>
      <c r="R313" s="16"/>
      <c r="S313" s="16"/>
      <c r="T313" s="16"/>
      <c r="U313" s="16"/>
      <c r="V313" s="16"/>
      <c r="W313" s="16"/>
      <c r="X313" s="16"/>
      <c r="Y313" s="16"/>
      <c r="Z313" s="16"/>
      <c r="AA313" s="16"/>
      <c r="AB313" s="16"/>
      <c r="AC313" s="16"/>
      <c r="AD313" s="16"/>
    </row>
    <row r="314" spans="2:30" ht="15.75" customHeight="1">
      <c r="B314" s="14"/>
      <c r="C314" s="14"/>
      <c r="D314" s="14"/>
      <c r="E314" s="14"/>
      <c r="F314" s="14"/>
      <c r="G314" s="14"/>
      <c r="H314" s="14"/>
      <c r="I314" s="14"/>
      <c r="J314" s="14"/>
      <c r="K314" s="14"/>
      <c r="L314" s="14"/>
      <c r="M314" s="14"/>
      <c r="N314" s="14"/>
      <c r="O314" s="16"/>
      <c r="P314" s="16"/>
      <c r="Q314" s="16"/>
      <c r="R314" s="16"/>
      <c r="S314" s="16"/>
      <c r="T314" s="16"/>
      <c r="U314" s="16"/>
      <c r="V314" s="16"/>
      <c r="W314" s="16"/>
      <c r="X314" s="16"/>
      <c r="Y314" s="16"/>
      <c r="Z314" s="16"/>
      <c r="AA314" s="16"/>
      <c r="AB314" s="16"/>
      <c r="AC314" s="16"/>
      <c r="AD314" s="16"/>
    </row>
    <row r="315" spans="2:30" ht="15.75" customHeight="1">
      <c r="B315" s="14"/>
      <c r="C315" s="14"/>
      <c r="D315" s="14"/>
      <c r="E315" s="14"/>
      <c r="F315" s="14"/>
      <c r="G315" s="14"/>
      <c r="H315" s="14"/>
      <c r="I315" s="14"/>
      <c r="J315" s="14"/>
      <c r="K315" s="14"/>
      <c r="L315" s="14"/>
      <c r="M315" s="14"/>
      <c r="N315" s="14"/>
      <c r="O315" s="16"/>
      <c r="P315" s="16"/>
      <c r="Q315" s="16"/>
      <c r="R315" s="16"/>
      <c r="S315" s="16"/>
      <c r="T315" s="16"/>
      <c r="U315" s="16"/>
      <c r="V315" s="16"/>
      <c r="W315" s="16"/>
      <c r="X315" s="16"/>
      <c r="Y315" s="16"/>
      <c r="Z315" s="16"/>
      <c r="AA315" s="16"/>
      <c r="AB315" s="16"/>
      <c r="AC315" s="16"/>
      <c r="AD315" s="16"/>
    </row>
    <row r="316" spans="2:30" ht="15.75" customHeight="1">
      <c r="B316" s="14"/>
      <c r="C316" s="14"/>
      <c r="D316" s="14"/>
      <c r="E316" s="14"/>
      <c r="F316" s="14"/>
      <c r="G316" s="14"/>
      <c r="H316" s="14"/>
      <c r="I316" s="14"/>
      <c r="J316" s="14"/>
      <c r="K316" s="14"/>
      <c r="L316" s="14"/>
      <c r="M316" s="14"/>
      <c r="N316" s="14"/>
      <c r="O316" s="16"/>
      <c r="P316" s="16"/>
      <c r="Q316" s="16"/>
      <c r="R316" s="16"/>
      <c r="S316" s="16"/>
      <c r="T316" s="16"/>
      <c r="U316" s="16"/>
      <c r="V316" s="16"/>
      <c r="W316" s="16"/>
      <c r="X316" s="16"/>
      <c r="Y316" s="16"/>
      <c r="Z316" s="16"/>
      <c r="AA316" s="16"/>
      <c r="AB316" s="16"/>
      <c r="AC316" s="16"/>
      <c r="AD316" s="16"/>
    </row>
    <row r="317" spans="2:30" ht="15.75" customHeight="1">
      <c r="B317" s="14"/>
      <c r="C317" s="14"/>
      <c r="D317" s="14"/>
      <c r="E317" s="14"/>
      <c r="F317" s="14"/>
      <c r="G317" s="14"/>
      <c r="H317" s="14"/>
      <c r="I317" s="14"/>
      <c r="J317" s="14"/>
      <c r="K317" s="14"/>
      <c r="L317" s="14"/>
      <c r="M317" s="14"/>
      <c r="N317" s="14"/>
      <c r="O317" s="16"/>
      <c r="P317" s="16"/>
      <c r="Q317" s="16"/>
      <c r="R317" s="16"/>
      <c r="S317" s="16"/>
      <c r="T317" s="16"/>
      <c r="U317" s="16"/>
      <c r="V317" s="16"/>
      <c r="W317" s="16"/>
      <c r="X317" s="16"/>
      <c r="Y317" s="16"/>
      <c r="Z317" s="16"/>
      <c r="AA317" s="16"/>
      <c r="AB317" s="16"/>
      <c r="AC317" s="16"/>
      <c r="AD317" s="16"/>
    </row>
    <row r="318" spans="2:30" ht="15.75" customHeight="1">
      <c r="B318" s="14"/>
      <c r="C318" s="14"/>
      <c r="D318" s="14"/>
      <c r="E318" s="14"/>
      <c r="F318" s="14"/>
      <c r="G318" s="14"/>
      <c r="H318" s="14"/>
      <c r="I318" s="14"/>
      <c r="J318" s="14"/>
      <c r="K318" s="14"/>
      <c r="L318" s="14"/>
      <c r="M318" s="14"/>
      <c r="N318" s="14"/>
      <c r="O318" s="16"/>
      <c r="P318" s="16"/>
      <c r="Q318" s="16"/>
      <c r="R318" s="16"/>
      <c r="S318" s="16"/>
      <c r="T318" s="16"/>
      <c r="U318" s="16"/>
      <c r="V318" s="16"/>
      <c r="W318" s="16"/>
      <c r="X318" s="16"/>
      <c r="Y318" s="16"/>
      <c r="Z318" s="16"/>
      <c r="AA318" s="16"/>
      <c r="AB318" s="16"/>
      <c r="AC318" s="16"/>
      <c r="AD318" s="16"/>
    </row>
    <row r="319" spans="2:30" ht="15.75" customHeight="1">
      <c r="B319" s="14"/>
      <c r="C319" s="14"/>
      <c r="D319" s="14"/>
      <c r="E319" s="14"/>
      <c r="F319" s="14"/>
      <c r="G319" s="14"/>
      <c r="H319" s="14"/>
      <c r="I319" s="14"/>
      <c r="J319" s="14"/>
      <c r="K319" s="14"/>
      <c r="L319" s="14"/>
      <c r="M319" s="14"/>
      <c r="N319" s="14"/>
      <c r="O319" s="16"/>
      <c r="P319" s="16"/>
      <c r="Q319" s="16"/>
      <c r="R319" s="16"/>
      <c r="S319" s="16"/>
      <c r="T319" s="16"/>
      <c r="U319" s="16"/>
      <c r="V319" s="16"/>
      <c r="W319" s="16"/>
      <c r="X319" s="16"/>
      <c r="Y319" s="16"/>
      <c r="Z319" s="16"/>
      <c r="AA319" s="16"/>
      <c r="AB319" s="16"/>
      <c r="AC319" s="16"/>
      <c r="AD319" s="16"/>
    </row>
    <row r="320" spans="2:30" ht="15.75" customHeight="1">
      <c r="B320" s="14"/>
      <c r="C320" s="14"/>
      <c r="D320" s="14"/>
      <c r="E320" s="14"/>
      <c r="F320" s="14"/>
      <c r="G320" s="14"/>
      <c r="H320" s="14"/>
      <c r="I320" s="14"/>
      <c r="J320" s="14"/>
      <c r="K320" s="14"/>
      <c r="L320" s="14"/>
      <c r="M320" s="14"/>
      <c r="N320" s="14"/>
      <c r="O320" s="16"/>
      <c r="P320" s="16"/>
      <c r="Q320" s="16"/>
      <c r="R320" s="16"/>
      <c r="S320" s="16"/>
      <c r="T320" s="16"/>
      <c r="U320" s="16"/>
      <c r="V320" s="16"/>
      <c r="W320" s="16"/>
      <c r="X320" s="16"/>
      <c r="Y320" s="16"/>
      <c r="Z320" s="16"/>
      <c r="AA320" s="16"/>
      <c r="AB320" s="16"/>
      <c r="AC320" s="16"/>
      <c r="AD320" s="16"/>
    </row>
    <row r="321" spans="2:30" ht="15.75" customHeight="1">
      <c r="B321" s="14"/>
      <c r="C321" s="14"/>
      <c r="D321" s="14"/>
      <c r="E321" s="14"/>
      <c r="F321" s="14"/>
      <c r="G321" s="14"/>
      <c r="H321" s="14"/>
      <c r="I321" s="14"/>
      <c r="J321" s="14"/>
      <c r="K321" s="14"/>
      <c r="L321" s="14"/>
      <c r="M321" s="14"/>
      <c r="N321" s="14"/>
      <c r="O321" s="16"/>
      <c r="P321" s="16"/>
      <c r="Q321" s="16"/>
      <c r="R321" s="16"/>
      <c r="S321" s="16"/>
      <c r="T321" s="16"/>
      <c r="U321" s="16"/>
      <c r="V321" s="16"/>
      <c r="W321" s="16"/>
      <c r="X321" s="16"/>
      <c r="Y321" s="16"/>
      <c r="Z321" s="16"/>
      <c r="AA321" s="16"/>
      <c r="AB321" s="16"/>
      <c r="AC321" s="16"/>
      <c r="AD321" s="16"/>
    </row>
    <row r="322" spans="2:30" ht="15.75" customHeight="1">
      <c r="B322" s="14"/>
      <c r="C322" s="14"/>
      <c r="D322" s="14"/>
      <c r="E322" s="14"/>
      <c r="F322" s="14"/>
      <c r="G322" s="14"/>
      <c r="H322" s="14"/>
      <c r="I322" s="14"/>
      <c r="J322" s="14"/>
      <c r="K322" s="14"/>
      <c r="L322" s="14"/>
      <c r="M322" s="14"/>
      <c r="N322" s="14"/>
      <c r="O322" s="16"/>
      <c r="P322" s="16"/>
      <c r="Q322" s="16"/>
      <c r="R322" s="16"/>
      <c r="S322" s="16"/>
      <c r="T322" s="16"/>
      <c r="U322" s="16"/>
      <c r="V322" s="16"/>
      <c r="W322" s="16"/>
      <c r="X322" s="16"/>
      <c r="Y322" s="16"/>
      <c r="Z322" s="16"/>
      <c r="AA322" s="16"/>
      <c r="AB322" s="16"/>
      <c r="AC322" s="16"/>
      <c r="AD322" s="16"/>
    </row>
    <row r="323" spans="2:30" ht="15.75" customHeight="1">
      <c r="B323" s="14"/>
      <c r="C323" s="14"/>
      <c r="D323" s="14"/>
      <c r="E323" s="14"/>
      <c r="F323" s="14"/>
      <c r="G323" s="14"/>
      <c r="H323" s="14"/>
      <c r="I323" s="14"/>
      <c r="J323" s="14"/>
      <c r="K323" s="14"/>
      <c r="L323" s="14"/>
      <c r="M323" s="14"/>
      <c r="N323" s="14"/>
      <c r="O323" s="16"/>
      <c r="P323" s="16"/>
      <c r="Q323" s="16"/>
      <c r="R323" s="16"/>
      <c r="S323" s="16"/>
      <c r="T323" s="16"/>
      <c r="U323" s="16"/>
      <c r="V323" s="16"/>
      <c r="W323" s="16"/>
      <c r="X323" s="16"/>
      <c r="Y323" s="16"/>
      <c r="Z323" s="16"/>
      <c r="AA323" s="16"/>
      <c r="AB323" s="16"/>
      <c r="AC323" s="16"/>
      <c r="AD323" s="16"/>
    </row>
    <row r="324" spans="2:30" ht="15.75" customHeight="1">
      <c r="B324" s="14"/>
      <c r="C324" s="14"/>
      <c r="D324" s="14"/>
      <c r="E324" s="14"/>
      <c r="F324" s="14"/>
      <c r="G324" s="14"/>
      <c r="H324" s="14"/>
      <c r="I324" s="14"/>
      <c r="J324" s="14"/>
      <c r="K324" s="14"/>
      <c r="L324" s="14"/>
      <c r="M324" s="14"/>
      <c r="N324" s="14"/>
      <c r="O324" s="16"/>
      <c r="P324" s="16"/>
      <c r="Q324" s="16"/>
      <c r="R324" s="16"/>
      <c r="S324" s="16"/>
      <c r="T324" s="16"/>
      <c r="U324" s="16"/>
      <c r="V324" s="16"/>
      <c r="W324" s="16"/>
      <c r="X324" s="16"/>
      <c r="Y324" s="16"/>
      <c r="Z324" s="16"/>
      <c r="AA324" s="16"/>
      <c r="AB324" s="16"/>
      <c r="AC324" s="16"/>
      <c r="AD324" s="16"/>
    </row>
    <row r="325" spans="2:30" ht="15.75" customHeight="1">
      <c r="B325" s="14"/>
      <c r="C325" s="14"/>
      <c r="D325" s="14"/>
      <c r="E325" s="14"/>
      <c r="F325" s="14"/>
      <c r="G325" s="14"/>
      <c r="H325" s="14"/>
      <c r="I325" s="14"/>
      <c r="J325" s="14"/>
      <c r="K325" s="14"/>
      <c r="L325" s="14"/>
      <c r="M325" s="14"/>
      <c r="N325" s="14"/>
      <c r="O325" s="16"/>
      <c r="P325" s="16"/>
      <c r="Q325" s="16"/>
      <c r="R325" s="16"/>
      <c r="S325" s="16"/>
      <c r="T325" s="16"/>
      <c r="U325" s="16"/>
      <c r="V325" s="16"/>
      <c r="W325" s="16"/>
      <c r="X325" s="16"/>
      <c r="Y325" s="16"/>
      <c r="Z325" s="16"/>
      <c r="AA325" s="16"/>
      <c r="AB325" s="16"/>
      <c r="AC325" s="16"/>
      <c r="AD325" s="16"/>
    </row>
    <row r="326" spans="2:30" ht="15.75" customHeight="1">
      <c r="B326" s="14"/>
      <c r="C326" s="14"/>
      <c r="D326" s="14"/>
      <c r="E326" s="14"/>
      <c r="F326" s="14"/>
      <c r="G326" s="14"/>
      <c r="H326" s="14"/>
      <c r="I326" s="14"/>
      <c r="J326" s="14"/>
      <c r="K326" s="14"/>
      <c r="L326" s="14"/>
      <c r="M326" s="14"/>
      <c r="N326" s="14"/>
      <c r="O326" s="16"/>
      <c r="P326" s="16"/>
      <c r="Q326" s="16"/>
      <c r="R326" s="16"/>
      <c r="S326" s="16"/>
      <c r="T326" s="16"/>
      <c r="U326" s="16"/>
      <c r="V326" s="16"/>
      <c r="W326" s="16"/>
      <c r="X326" s="16"/>
      <c r="Y326" s="16"/>
      <c r="Z326" s="16"/>
      <c r="AA326" s="16"/>
      <c r="AB326" s="16"/>
      <c r="AC326" s="16"/>
      <c r="AD326" s="16"/>
    </row>
    <row r="327" spans="2:30" ht="15.75" customHeight="1">
      <c r="B327" s="14"/>
      <c r="C327" s="14"/>
      <c r="D327" s="14"/>
      <c r="E327" s="14"/>
      <c r="F327" s="14"/>
      <c r="G327" s="14"/>
      <c r="H327" s="14"/>
      <c r="I327" s="14"/>
      <c r="J327" s="14"/>
      <c r="K327" s="14"/>
      <c r="L327" s="14"/>
      <c r="M327" s="14"/>
      <c r="N327" s="14"/>
      <c r="O327" s="16"/>
      <c r="P327" s="16"/>
      <c r="Q327" s="16"/>
      <c r="R327" s="16"/>
      <c r="S327" s="16"/>
      <c r="T327" s="16"/>
      <c r="U327" s="16"/>
      <c r="V327" s="16"/>
      <c r="W327" s="16"/>
      <c r="X327" s="16"/>
      <c r="Y327" s="16"/>
      <c r="Z327" s="16"/>
      <c r="AA327" s="16"/>
      <c r="AB327" s="16"/>
      <c r="AC327" s="16"/>
      <c r="AD327" s="16"/>
    </row>
    <row r="328" spans="2:30" ht="15.75" customHeight="1">
      <c r="B328" s="14"/>
      <c r="C328" s="14"/>
      <c r="D328" s="14"/>
      <c r="E328" s="14"/>
      <c r="F328" s="14"/>
      <c r="G328" s="14"/>
      <c r="H328" s="14"/>
      <c r="I328" s="14"/>
      <c r="J328" s="14"/>
      <c r="K328" s="14"/>
      <c r="L328" s="14"/>
      <c r="M328" s="14"/>
      <c r="N328" s="14"/>
      <c r="O328" s="16"/>
      <c r="P328" s="16"/>
      <c r="Q328" s="16"/>
      <c r="R328" s="16"/>
      <c r="S328" s="16"/>
      <c r="T328" s="16"/>
      <c r="U328" s="16"/>
      <c r="V328" s="16"/>
      <c r="W328" s="16"/>
      <c r="X328" s="16"/>
      <c r="Y328" s="16"/>
      <c r="Z328" s="16"/>
      <c r="AA328" s="16"/>
      <c r="AB328" s="16"/>
      <c r="AC328" s="16"/>
      <c r="AD328" s="16"/>
    </row>
    <row r="329" spans="2:30" ht="15.75" customHeight="1">
      <c r="B329" s="14"/>
      <c r="C329" s="14"/>
      <c r="D329" s="14"/>
      <c r="E329" s="14"/>
      <c r="F329" s="14"/>
      <c r="G329" s="14"/>
      <c r="H329" s="14"/>
      <c r="I329" s="14"/>
      <c r="J329" s="14"/>
      <c r="K329" s="14"/>
      <c r="L329" s="14"/>
      <c r="M329" s="14"/>
      <c r="N329" s="14"/>
      <c r="O329" s="16"/>
      <c r="P329" s="16"/>
      <c r="Q329" s="16"/>
      <c r="R329" s="16"/>
      <c r="S329" s="16"/>
      <c r="T329" s="16"/>
      <c r="U329" s="16"/>
      <c r="V329" s="16"/>
      <c r="W329" s="16"/>
      <c r="X329" s="16"/>
      <c r="Y329" s="16"/>
      <c r="Z329" s="16"/>
      <c r="AA329" s="16"/>
      <c r="AB329" s="16"/>
      <c r="AC329" s="16"/>
      <c r="AD329" s="16"/>
    </row>
    <row r="330" spans="2:30" ht="15.75" customHeight="1">
      <c r="B330" s="14"/>
      <c r="C330" s="14"/>
      <c r="D330" s="14"/>
      <c r="E330" s="14"/>
      <c r="F330" s="14"/>
      <c r="G330" s="14"/>
      <c r="H330" s="14"/>
      <c r="I330" s="14"/>
      <c r="J330" s="14"/>
      <c r="K330" s="14"/>
      <c r="L330" s="14"/>
      <c r="M330" s="14"/>
      <c r="N330" s="14"/>
      <c r="O330" s="16"/>
      <c r="P330" s="16"/>
      <c r="Q330" s="16"/>
      <c r="R330" s="16"/>
      <c r="S330" s="16"/>
      <c r="T330" s="16"/>
      <c r="U330" s="16"/>
      <c r="V330" s="16"/>
      <c r="W330" s="16"/>
      <c r="X330" s="16"/>
      <c r="Y330" s="16"/>
      <c r="Z330" s="16"/>
      <c r="AA330" s="16"/>
      <c r="AB330" s="16"/>
      <c r="AC330" s="16"/>
      <c r="AD330" s="16"/>
    </row>
    <row r="331" spans="2:30" ht="15.75" customHeight="1">
      <c r="B331" s="14"/>
      <c r="C331" s="14"/>
      <c r="D331" s="14"/>
      <c r="E331" s="14"/>
      <c r="F331" s="14"/>
      <c r="G331" s="14"/>
      <c r="H331" s="14"/>
      <c r="I331" s="14"/>
      <c r="J331" s="14"/>
      <c r="K331" s="14"/>
      <c r="L331" s="14"/>
      <c r="M331" s="14"/>
      <c r="N331" s="14"/>
      <c r="O331" s="16"/>
      <c r="P331" s="16"/>
      <c r="Q331" s="16"/>
      <c r="R331" s="16"/>
      <c r="S331" s="16"/>
      <c r="T331" s="16"/>
      <c r="U331" s="16"/>
      <c r="V331" s="16"/>
      <c r="W331" s="16"/>
      <c r="X331" s="16"/>
      <c r="Y331" s="16"/>
      <c r="Z331" s="16"/>
      <c r="AA331" s="16"/>
      <c r="AB331" s="16"/>
      <c r="AC331" s="16"/>
      <c r="AD331" s="16"/>
    </row>
    <row r="332" spans="2:30" ht="15.75" customHeight="1">
      <c r="B332" s="14"/>
      <c r="C332" s="14"/>
      <c r="D332" s="14"/>
      <c r="E332" s="14"/>
      <c r="F332" s="14"/>
      <c r="G332" s="14"/>
      <c r="H332" s="14"/>
      <c r="I332" s="14"/>
      <c r="J332" s="14"/>
      <c r="K332" s="14"/>
      <c r="L332" s="14"/>
      <c r="M332" s="14"/>
      <c r="N332" s="14"/>
      <c r="O332" s="16"/>
      <c r="P332" s="16"/>
      <c r="Q332" s="16"/>
      <c r="R332" s="16"/>
      <c r="S332" s="16"/>
      <c r="T332" s="16"/>
      <c r="U332" s="16"/>
      <c r="V332" s="16"/>
      <c r="W332" s="16"/>
      <c r="X332" s="16"/>
      <c r="Y332" s="16"/>
      <c r="Z332" s="16"/>
      <c r="AA332" s="16"/>
      <c r="AB332" s="16"/>
      <c r="AC332" s="16"/>
      <c r="AD332" s="16"/>
    </row>
    <row r="333" spans="2:30" ht="15.75" customHeight="1">
      <c r="B333" s="14"/>
      <c r="C333" s="14"/>
      <c r="D333" s="14"/>
      <c r="E333" s="14"/>
      <c r="F333" s="14"/>
      <c r="G333" s="14"/>
      <c r="H333" s="14"/>
      <c r="I333" s="14"/>
      <c r="J333" s="14"/>
      <c r="K333" s="14"/>
      <c r="L333" s="14"/>
      <c r="M333" s="14"/>
      <c r="N333" s="14"/>
      <c r="O333" s="16"/>
      <c r="P333" s="16"/>
      <c r="Q333" s="16"/>
      <c r="R333" s="16"/>
      <c r="S333" s="16"/>
      <c r="T333" s="16"/>
      <c r="U333" s="16"/>
      <c r="V333" s="16"/>
      <c r="W333" s="16"/>
      <c r="X333" s="16"/>
      <c r="Y333" s="16"/>
      <c r="Z333" s="16"/>
      <c r="AA333" s="16"/>
      <c r="AB333" s="16"/>
      <c r="AC333" s="16"/>
      <c r="AD333" s="16"/>
    </row>
    <row r="334" spans="2:30" ht="15.75" customHeight="1">
      <c r="B334" s="14"/>
      <c r="C334" s="14"/>
      <c r="D334" s="14"/>
      <c r="E334" s="14"/>
      <c r="F334" s="14"/>
      <c r="G334" s="14"/>
      <c r="H334" s="14"/>
      <c r="I334" s="14"/>
      <c r="J334" s="14"/>
      <c r="K334" s="14"/>
      <c r="L334" s="14"/>
      <c r="M334" s="14"/>
      <c r="N334" s="14"/>
      <c r="O334" s="16"/>
      <c r="P334" s="16"/>
      <c r="Q334" s="16"/>
      <c r="R334" s="16"/>
      <c r="S334" s="16"/>
      <c r="T334" s="16"/>
      <c r="U334" s="16"/>
      <c r="V334" s="16"/>
      <c r="W334" s="16"/>
      <c r="X334" s="16"/>
      <c r="Y334" s="16"/>
      <c r="Z334" s="16"/>
      <c r="AA334" s="16"/>
      <c r="AB334" s="16"/>
      <c r="AC334" s="16"/>
      <c r="AD334" s="16"/>
    </row>
    <row r="335" spans="2:30" ht="15.75" customHeight="1">
      <c r="B335" s="14"/>
      <c r="C335" s="14"/>
      <c r="D335" s="14"/>
      <c r="E335" s="14"/>
      <c r="F335" s="14"/>
      <c r="G335" s="14"/>
      <c r="H335" s="14"/>
      <c r="I335" s="14"/>
      <c r="J335" s="14"/>
      <c r="K335" s="14"/>
      <c r="L335" s="14"/>
      <c r="M335" s="14"/>
      <c r="N335" s="14"/>
      <c r="O335" s="16"/>
      <c r="P335" s="16"/>
      <c r="Q335" s="16"/>
      <c r="R335" s="16"/>
      <c r="S335" s="16"/>
      <c r="T335" s="16"/>
      <c r="U335" s="16"/>
      <c r="V335" s="16"/>
      <c r="W335" s="16"/>
      <c r="X335" s="16"/>
      <c r="Y335" s="16"/>
      <c r="Z335" s="16"/>
      <c r="AA335" s="16"/>
      <c r="AB335" s="16"/>
      <c r="AC335" s="16"/>
      <c r="AD335" s="16"/>
    </row>
    <row r="336" spans="2:30" ht="15.75" customHeight="1">
      <c r="B336" s="14"/>
      <c r="C336" s="14"/>
      <c r="D336" s="14"/>
      <c r="E336" s="14"/>
      <c r="F336" s="14"/>
      <c r="G336" s="14"/>
      <c r="H336" s="14"/>
      <c r="I336" s="14"/>
      <c r="J336" s="14"/>
      <c r="K336" s="14"/>
      <c r="L336" s="14"/>
      <c r="M336" s="14"/>
      <c r="N336" s="14"/>
      <c r="O336" s="16"/>
      <c r="P336" s="16"/>
      <c r="Q336" s="16"/>
      <c r="R336" s="16"/>
      <c r="S336" s="16"/>
      <c r="T336" s="16"/>
      <c r="U336" s="16"/>
      <c r="V336" s="16"/>
      <c r="W336" s="16"/>
      <c r="X336" s="16"/>
      <c r="Y336" s="16"/>
      <c r="Z336" s="16"/>
      <c r="AA336" s="16"/>
      <c r="AB336" s="16"/>
      <c r="AC336" s="16"/>
      <c r="AD336" s="16"/>
    </row>
    <row r="337" spans="2:30" ht="15.75" customHeight="1">
      <c r="B337" s="14"/>
      <c r="C337" s="14"/>
      <c r="D337" s="14"/>
      <c r="E337" s="14"/>
      <c r="F337" s="14"/>
      <c r="G337" s="14"/>
      <c r="H337" s="14"/>
      <c r="I337" s="14"/>
      <c r="J337" s="14"/>
      <c r="K337" s="14"/>
      <c r="L337" s="14"/>
      <c r="M337" s="14"/>
      <c r="N337" s="14"/>
      <c r="O337" s="16"/>
      <c r="P337" s="16"/>
      <c r="Q337" s="16"/>
      <c r="R337" s="16"/>
      <c r="S337" s="16"/>
      <c r="T337" s="16"/>
      <c r="U337" s="16"/>
      <c r="V337" s="16"/>
      <c r="W337" s="16"/>
      <c r="X337" s="16"/>
      <c r="Y337" s="16"/>
      <c r="Z337" s="16"/>
      <c r="AA337" s="16"/>
      <c r="AB337" s="16"/>
      <c r="AC337" s="16"/>
      <c r="AD337" s="16"/>
    </row>
    <row r="338" spans="2:30" ht="15.75" customHeight="1">
      <c r="B338" s="14"/>
      <c r="C338" s="14"/>
      <c r="D338" s="14"/>
      <c r="E338" s="14"/>
      <c r="F338" s="14"/>
      <c r="G338" s="14"/>
      <c r="H338" s="14"/>
      <c r="I338" s="14"/>
      <c r="J338" s="14"/>
      <c r="K338" s="14"/>
      <c r="L338" s="14"/>
      <c r="M338" s="14"/>
      <c r="N338" s="14"/>
      <c r="O338" s="16"/>
      <c r="P338" s="16"/>
      <c r="Q338" s="16"/>
      <c r="R338" s="16"/>
      <c r="S338" s="16"/>
      <c r="T338" s="16"/>
      <c r="U338" s="16"/>
      <c r="V338" s="16"/>
      <c r="W338" s="16"/>
      <c r="X338" s="16"/>
      <c r="Y338" s="16"/>
      <c r="Z338" s="16"/>
      <c r="AA338" s="16"/>
      <c r="AB338" s="16"/>
      <c r="AC338" s="16"/>
      <c r="AD338" s="16"/>
    </row>
    <row r="339" spans="2:30" ht="15.75" customHeight="1">
      <c r="B339" s="14"/>
      <c r="C339" s="14"/>
      <c r="D339" s="14"/>
      <c r="E339" s="14"/>
      <c r="F339" s="14"/>
      <c r="G339" s="14"/>
      <c r="H339" s="14"/>
      <c r="I339" s="14"/>
      <c r="J339" s="14"/>
      <c r="K339" s="14"/>
      <c r="L339" s="14"/>
      <c r="M339" s="14"/>
      <c r="N339" s="14"/>
      <c r="O339" s="16"/>
      <c r="P339" s="16"/>
      <c r="Q339" s="16"/>
      <c r="R339" s="16"/>
      <c r="S339" s="16"/>
      <c r="T339" s="16"/>
      <c r="U339" s="16"/>
      <c r="V339" s="16"/>
      <c r="W339" s="16"/>
      <c r="X339" s="16"/>
      <c r="Y339" s="16"/>
      <c r="Z339" s="16"/>
      <c r="AA339" s="16"/>
      <c r="AB339" s="16"/>
      <c r="AC339" s="16"/>
      <c r="AD339" s="16"/>
    </row>
    <row r="340" spans="2:30" ht="15.75" customHeight="1">
      <c r="B340" s="14"/>
      <c r="C340" s="14"/>
      <c r="D340" s="14"/>
      <c r="E340" s="14"/>
      <c r="F340" s="14"/>
      <c r="G340" s="14"/>
      <c r="H340" s="14"/>
      <c r="I340" s="14"/>
      <c r="J340" s="14"/>
      <c r="K340" s="14"/>
      <c r="L340" s="14"/>
      <c r="M340" s="14"/>
      <c r="N340" s="14"/>
      <c r="O340" s="16"/>
      <c r="P340" s="16"/>
      <c r="Q340" s="16"/>
      <c r="R340" s="16"/>
      <c r="S340" s="16"/>
      <c r="T340" s="16"/>
      <c r="U340" s="16"/>
      <c r="V340" s="16"/>
      <c r="W340" s="16"/>
      <c r="X340" s="16"/>
      <c r="Y340" s="16"/>
      <c r="Z340" s="16"/>
      <c r="AA340" s="16"/>
      <c r="AB340" s="16"/>
      <c r="AC340" s="16"/>
      <c r="AD340" s="16"/>
    </row>
    <row r="341" spans="2:30" ht="15.75" customHeight="1">
      <c r="B341" s="14"/>
      <c r="C341" s="14"/>
      <c r="D341" s="14"/>
      <c r="E341" s="14"/>
      <c r="F341" s="14"/>
      <c r="G341" s="14"/>
      <c r="H341" s="14"/>
      <c r="I341" s="14"/>
      <c r="J341" s="14"/>
      <c r="K341" s="14"/>
      <c r="L341" s="14"/>
      <c r="M341" s="14"/>
      <c r="N341" s="14"/>
      <c r="O341" s="16"/>
      <c r="P341" s="16"/>
      <c r="Q341" s="16"/>
      <c r="R341" s="16"/>
      <c r="S341" s="16"/>
      <c r="T341" s="16"/>
      <c r="U341" s="16"/>
      <c r="V341" s="16"/>
      <c r="W341" s="16"/>
      <c r="X341" s="16"/>
      <c r="Y341" s="16"/>
      <c r="Z341" s="16"/>
      <c r="AA341" s="16"/>
      <c r="AB341" s="16"/>
      <c r="AC341" s="16"/>
      <c r="AD341" s="16"/>
    </row>
    <row r="342" spans="2:30" ht="15.75" customHeight="1">
      <c r="B342" s="14"/>
      <c r="C342" s="14"/>
      <c r="D342" s="14"/>
      <c r="E342" s="14"/>
      <c r="F342" s="14"/>
      <c r="G342" s="14"/>
      <c r="H342" s="14"/>
      <c r="I342" s="14"/>
      <c r="J342" s="14"/>
      <c r="K342" s="14"/>
      <c r="L342" s="14"/>
      <c r="M342" s="14"/>
      <c r="N342" s="14"/>
      <c r="O342" s="16"/>
      <c r="P342" s="16"/>
      <c r="Q342" s="16"/>
      <c r="R342" s="16"/>
      <c r="S342" s="16"/>
      <c r="T342" s="16"/>
      <c r="U342" s="16"/>
      <c r="V342" s="16"/>
      <c r="W342" s="16"/>
      <c r="X342" s="16"/>
      <c r="Y342" s="16"/>
      <c r="Z342" s="16"/>
      <c r="AA342" s="16"/>
      <c r="AB342" s="16"/>
      <c r="AC342" s="16"/>
      <c r="AD342" s="16"/>
    </row>
    <row r="343" spans="2:30" ht="15.75" customHeight="1">
      <c r="B343" s="14"/>
      <c r="C343" s="14"/>
      <c r="D343" s="14"/>
      <c r="E343" s="14"/>
      <c r="F343" s="14"/>
      <c r="G343" s="14"/>
      <c r="H343" s="14"/>
      <c r="I343" s="14"/>
      <c r="J343" s="14"/>
      <c r="K343" s="14"/>
      <c r="L343" s="14"/>
      <c r="M343" s="14"/>
      <c r="N343" s="14"/>
      <c r="O343" s="16"/>
      <c r="P343" s="16"/>
      <c r="Q343" s="16"/>
      <c r="R343" s="16"/>
      <c r="S343" s="16"/>
      <c r="T343" s="16"/>
      <c r="U343" s="16"/>
      <c r="V343" s="16"/>
      <c r="W343" s="16"/>
      <c r="X343" s="16"/>
      <c r="Y343" s="16"/>
      <c r="Z343" s="16"/>
      <c r="AA343" s="16"/>
      <c r="AB343" s="16"/>
      <c r="AC343" s="16"/>
      <c r="AD343" s="16"/>
    </row>
    <row r="344" spans="2:30" ht="15.75" customHeight="1">
      <c r="B344" s="14"/>
      <c r="C344" s="14"/>
      <c r="D344" s="14"/>
      <c r="E344" s="14"/>
      <c r="F344" s="14"/>
      <c r="G344" s="14"/>
      <c r="H344" s="14"/>
      <c r="I344" s="14"/>
      <c r="J344" s="14"/>
      <c r="K344" s="14"/>
      <c r="L344" s="14"/>
      <c r="M344" s="14"/>
      <c r="N344" s="14"/>
      <c r="O344" s="16"/>
      <c r="P344" s="16"/>
      <c r="Q344" s="16"/>
      <c r="R344" s="16"/>
      <c r="S344" s="16"/>
      <c r="T344" s="16"/>
      <c r="U344" s="16"/>
      <c r="V344" s="16"/>
      <c r="W344" s="16"/>
      <c r="X344" s="16"/>
      <c r="Y344" s="16"/>
      <c r="Z344" s="16"/>
      <c r="AA344" s="16"/>
      <c r="AB344" s="16"/>
      <c r="AC344" s="16"/>
      <c r="AD344" s="16"/>
    </row>
    <row r="345" spans="2:30" ht="15.75" customHeight="1">
      <c r="B345" s="14"/>
      <c r="C345" s="14"/>
      <c r="D345" s="14"/>
      <c r="E345" s="14"/>
      <c r="F345" s="14"/>
      <c r="G345" s="14"/>
      <c r="H345" s="14"/>
      <c r="I345" s="14"/>
      <c r="J345" s="14"/>
      <c r="K345" s="14"/>
      <c r="L345" s="14"/>
      <c r="M345" s="14"/>
      <c r="N345" s="14"/>
      <c r="O345" s="16"/>
      <c r="P345" s="16"/>
      <c r="Q345" s="16"/>
      <c r="R345" s="16"/>
      <c r="S345" s="16"/>
      <c r="T345" s="16"/>
      <c r="U345" s="16"/>
      <c r="V345" s="16"/>
      <c r="W345" s="16"/>
      <c r="X345" s="16"/>
      <c r="Y345" s="16"/>
      <c r="Z345" s="16"/>
      <c r="AA345" s="16"/>
      <c r="AB345" s="16"/>
      <c r="AC345" s="16"/>
      <c r="AD345" s="16"/>
    </row>
    <row r="346" spans="2:30" ht="15.75" customHeight="1">
      <c r="B346" s="14"/>
      <c r="C346" s="14"/>
      <c r="D346" s="14"/>
      <c r="E346" s="14"/>
      <c r="F346" s="14"/>
      <c r="G346" s="14"/>
      <c r="H346" s="14"/>
      <c r="I346" s="14"/>
      <c r="J346" s="14"/>
      <c r="K346" s="14"/>
      <c r="L346" s="14"/>
      <c r="M346" s="14"/>
      <c r="N346" s="14"/>
      <c r="O346" s="16"/>
      <c r="P346" s="16"/>
      <c r="Q346" s="16"/>
      <c r="R346" s="16"/>
      <c r="S346" s="16"/>
      <c r="T346" s="16"/>
      <c r="U346" s="16"/>
      <c r="V346" s="16"/>
      <c r="W346" s="16"/>
      <c r="X346" s="16"/>
      <c r="Y346" s="16"/>
      <c r="Z346" s="16"/>
      <c r="AA346" s="16"/>
      <c r="AB346" s="16"/>
      <c r="AC346" s="16"/>
      <c r="AD346" s="16"/>
    </row>
    <row r="347" spans="2:30" ht="15.75" customHeight="1">
      <c r="B347" s="14"/>
      <c r="C347" s="14"/>
      <c r="D347" s="14"/>
      <c r="E347" s="14"/>
      <c r="F347" s="14"/>
      <c r="G347" s="14"/>
      <c r="H347" s="14"/>
      <c r="I347" s="14"/>
      <c r="J347" s="14"/>
      <c r="K347" s="14"/>
      <c r="L347" s="14"/>
      <c r="M347" s="14"/>
      <c r="N347" s="14"/>
      <c r="O347" s="16"/>
      <c r="P347" s="16"/>
      <c r="Q347" s="16"/>
      <c r="R347" s="16"/>
      <c r="S347" s="16"/>
      <c r="T347" s="16"/>
      <c r="U347" s="16"/>
      <c r="V347" s="16"/>
      <c r="W347" s="16"/>
      <c r="X347" s="16"/>
      <c r="Y347" s="16"/>
      <c r="Z347" s="16"/>
      <c r="AA347" s="16"/>
      <c r="AB347" s="16"/>
      <c r="AC347" s="16"/>
      <c r="AD347" s="16"/>
    </row>
    <row r="348" spans="2:30" ht="15.75" customHeight="1">
      <c r="B348" s="14"/>
      <c r="C348" s="14"/>
      <c r="D348" s="14"/>
      <c r="E348" s="14"/>
      <c r="F348" s="14"/>
      <c r="G348" s="14"/>
      <c r="H348" s="14"/>
      <c r="I348" s="14"/>
      <c r="J348" s="14"/>
      <c r="K348" s="14"/>
      <c r="L348" s="14"/>
      <c r="M348" s="14"/>
      <c r="N348" s="14"/>
      <c r="O348" s="16"/>
      <c r="P348" s="16"/>
      <c r="Q348" s="16"/>
      <c r="R348" s="16"/>
      <c r="S348" s="16"/>
      <c r="T348" s="16"/>
      <c r="U348" s="16"/>
      <c r="V348" s="16"/>
      <c r="W348" s="16"/>
      <c r="X348" s="16"/>
      <c r="Y348" s="16"/>
      <c r="Z348" s="16"/>
      <c r="AA348" s="16"/>
      <c r="AB348" s="16"/>
      <c r="AC348" s="16"/>
      <c r="AD348" s="16"/>
    </row>
    <row r="349" spans="2:30" ht="15.75" customHeight="1">
      <c r="B349" s="14"/>
      <c r="C349" s="14"/>
      <c r="D349" s="14"/>
      <c r="E349" s="14"/>
      <c r="F349" s="14"/>
      <c r="G349" s="14"/>
      <c r="H349" s="14"/>
      <c r="I349" s="14"/>
      <c r="J349" s="14"/>
      <c r="K349" s="14"/>
      <c r="L349" s="14"/>
      <c r="M349" s="14"/>
      <c r="N349" s="14"/>
      <c r="O349" s="16"/>
      <c r="P349" s="16"/>
      <c r="Q349" s="16"/>
      <c r="R349" s="16"/>
      <c r="S349" s="16"/>
      <c r="T349" s="16"/>
      <c r="U349" s="16"/>
      <c r="V349" s="16"/>
      <c r="W349" s="16"/>
      <c r="X349" s="16"/>
      <c r="Y349" s="16"/>
      <c r="Z349" s="16"/>
      <c r="AA349" s="16"/>
      <c r="AB349" s="16"/>
      <c r="AC349" s="16"/>
      <c r="AD349" s="16"/>
    </row>
    <row r="350" spans="2:30" ht="15.75" customHeight="1">
      <c r="B350" s="14"/>
      <c r="C350" s="14"/>
      <c r="D350" s="14"/>
      <c r="E350" s="14"/>
      <c r="F350" s="14"/>
      <c r="G350" s="14"/>
      <c r="H350" s="14"/>
      <c r="I350" s="14"/>
      <c r="J350" s="14"/>
      <c r="K350" s="14"/>
      <c r="L350" s="14"/>
      <c r="M350" s="14"/>
      <c r="N350" s="14"/>
      <c r="O350" s="16"/>
      <c r="P350" s="16"/>
      <c r="Q350" s="16"/>
      <c r="R350" s="16"/>
      <c r="S350" s="16"/>
      <c r="T350" s="16"/>
      <c r="U350" s="16"/>
      <c r="V350" s="16"/>
      <c r="W350" s="16"/>
      <c r="X350" s="16"/>
      <c r="Y350" s="16"/>
      <c r="Z350" s="16"/>
      <c r="AA350" s="16"/>
      <c r="AB350" s="16"/>
      <c r="AC350" s="16"/>
      <c r="AD350" s="16"/>
    </row>
    <row r="351" spans="2:30" ht="15.75" customHeight="1">
      <c r="B351" s="14"/>
      <c r="C351" s="14"/>
      <c r="D351" s="14"/>
      <c r="E351" s="14"/>
      <c r="F351" s="14"/>
      <c r="G351" s="14"/>
      <c r="H351" s="14"/>
      <c r="I351" s="14"/>
      <c r="J351" s="14"/>
      <c r="K351" s="14"/>
      <c r="L351" s="14"/>
      <c r="M351" s="14"/>
      <c r="N351" s="14"/>
      <c r="O351" s="16"/>
      <c r="P351" s="16"/>
      <c r="Q351" s="16"/>
      <c r="R351" s="16"/>
      <c r="S351" s="16"/>
      <c r="T351" s="16"/>
      <c r="U351" s="16"/>
      <c r="V351" s="16"/>
      <c r="W351" s="16"/>
      <c r="X351" s="16"/>
      <c r="Y351" s="16"/>
      <c r="Z351" s="16"/>
      <c r="AA351" s="16"/>
      <c r="AB351" s="16"/>
      <c r="AC351" s="16"/>
      <c r="AD351" s="16"/>
    </row>
    <row r="352" spans="2:30" ht="15.75" customHeight="1">
      <c r="B352" s="14"/>
      <c r="C352" s="14"/>
      <c r="D352" s="14"/>
      <c r="E352" s="14"/>
      <c r="F352" s="14"/>
      <c r="G352" s="14"/>
      <c r="H352" s="14"/>
      <c r="I352" s="14"/>
      <c r="J352" s="14"/>
      <c r="K352" s="14"/>
      <c r="L352" s="14"/>
      <c r="M352" s="14"/>
      <c r="N352" s="14"/>
      <c r="O352" s="16"/>
      <c r="P352" s="16"/>
      <c r="Q352" s="16"/>
      <c r="R352" s="16"/>
      <c r="S352" s="16"/>
      <c r="T352" s="16"/>
      <c r="U352" s="16"/>
      <c r="V352" s="16"/>
      <c r="W352" s="16"/>
      <c r="X352" s="16"/>
      <c r="Y352" s="16"/>
      <c r="Z352" s="16"/>
      <c r="AA352" s="16"/>
      <c r="AB352" s="16"/>
      <c r="AC352" s="16"/>
      <c r="AD352" s="16"/>
    </row>
    <row r="353" spans="2:30" ht="15.75" customHeight="1">
      <c r="B353" s="14"/>
      <c r="C353" s="14"/>
      <c r="D353" s="14"/>
      <c r="E353" s="14"/>
      <c r="F353" s="14"/>
      <c r="G353" s="14"/>
      <c r="H353" s="14"/>
      <c r="I353" s="14"/>
      <c r="J353" s="14"/>
      <c r="K353" s="14"/>
      <c r="L353" s="14"/>
      <c r="M353" s="14"/>
      <c r="N353" s="14"/>
      <c r="O353" s="16"/>
      <c r="P353" s="16"/>
      <c r="Q353" s="16"/>
      <c r="R353" s="16"/>
      <c r="S353" s="16"/>
      <c r="T353" s="16"/>
      <c r="U353" s="16"/>
      <c r="V353" s="16"/>
      <c r="W353" s="16"/>
      <c r="X353" s="16"/>
      <c r="Y353" s="16"/>
      <c r="Z353" s="16"/>
      <c r="AA353" s="16"/>
      <c r="AB353" s="16"/>
      <c r="AC353" s="16"/>
      <c r="AD353" s="16"/>
    </row>
    <row r="354" spans="2:30" ht="15.75" customHeight="1">
      <c r="B354" s="14"/>
      <c r="C354" s="14"/>
      <c r="D354" s="14"/>
      <c r="E354" s="14"/>
      <c r="F354" s="14"/>
      <c r="G354" s="14"/>
      <c r="H354" s="14"/>
      <c r="I354" s="14"/>
      <c r="J354" s="14"/>
      <c r="K354" s="14"/>
      <c r="L354" s="14"/>
      <c r="M354" s="14"/>
      <c r="N354" s="14"/>
      <c r="O354" s="16"/>
      <c r="P354" s="16"/>
      <c r="Q354" s="16"/>
      <c r="R354" s="16"/>
      <c r="S354" s="16"/>
      <c r="T354" s="16"/>
      <c r="U354" s="16"/>
      <c r="V354" s="16"/>
      <c r="W354" s="16"/>
      <c r="X354" s="16"/>
      <c r="Y354" s="16"/>
      <c r="Z354" s="16"/>
      <c r="AA354" s="16"/>
      <c r="AB354" s="16"/>
      <c r="AC354" s="16"/>
      <c r="AD354" s="16"/>
    </row>
    <row r="355" spans="2:30" ht="15.75" customHeight="1">
      <c r="B355" s="14"/>
      <c r="C355" s="14"/>
      <c r="D355" s="14"/>
      <c r="E355" s="14"/>
      <c r="F355" s="14"/>
      <c r="G355" s="14"/>
      <c r="H355" s="14"/>
      <c r="I355" s="14"/>
      <c r="J355" s="14"/>
      <c r="K355" s="14"/>
      <c r="L355" s="14"/>
      <c r="M355" s="14"/>
      <c r="N355" s="14"/>
      <c r="O355" s="16"/>
      <c r="P355" s="16"/>
      <c r="Q355" s="16"/>
      <c r="R355" s="16"/>
      <c r="S355" s="16"/>
      <c r="T355" s="16"/>
      <c r="U355" s="16"/>
      <c r="V355" s="16"/>
      <c r="W355" s="16"/>
      <c r="X355" s="16"/>
      <c r="Y355" s="16"/>
      <c r="Z355" s="16"/>
      <c r="AA355" s="16"/>
      <c r="AB355" s="16"/>
      <c r="AC355" s="16"/>
      <c r="AD355" s="16"/>
    </row>
    <row r="356" spans="2:30" ht="15.75" customHeight="1">
      <c r="B356" s="14"/>
      <c r="C356" s="14"/>
      <c r="D356" s="14"/>
      <c r="E356" s="14"/>
      <c r="F356" s="14"/>
      <c r="G356" s="14"/>
      <c r="H356" s="14"/>
      <c r="I356" s="14"/>
      <c r="J356" s="14"/>
      <c r="K356" s="14"/>
      <c r="L356" s="14"/>
      <c r="M356" s="14"/>
      <c r="N356" s="14"/>
      <c r="O356" s="16"/>
      <c r="P356" s="16"/>
      <c r="Q356" s="16"/>
      <c r="R356" s="16"/>
      <c r="S356" s="16"/>
      <c r="T356" s="16"/>
      <c r="U356" s="16"/>
      <c r="V356" s="16"/>
      <c r="W356" s="16"/>
      <c r="X356" s="16"/>
      <c r="Y356" s="16"/>
      <c r="Z356" s="16"/>
      <c r="AA356" s="16"/>
      <c r="AB356" s="16"/>
      <c r="AC356" s="16"/>
      <c r="AD356" s="16"/>
    </row>
    <row r="357" spans="2:30" ht="15.75" customHeight="1">
      <c r="B357" s="14"/>
      <c r="C357" s="14"/>
      <c r="D357" s="14"/>
      <c r="E357" s="14"/>
      <c r="F357" s="14"/>
      <c r="G357" s="14"/>
      <c r="H357" s="14"/>
      <c r="I357" s="14"/>
      <c r="J357" s="14"/>
      <c r="K357" s="14"/>
      <c r="L357" s="14"/>
      <c r="M357" s="14"/>
      <c r="N357" s="14"/>
      <c r="O357" s="16"/>
      <c r="P357" s="16"/>
      <c r="Q357" s="16"/>
      <c r="R357" s="16"/>
      <c r="S357" s="16"/>
      <c r="T357" s="16"/>
      <c r="U357" s="16"/>
      <c r="V357" s="16"/>
      <c r="W357" s="16"/>
      <c r="X357" s="16"/>
      <c r="Y357" s="16"/>
      <c r="Z357" s="16"/>
      <c r="AA357" s="16"/>
      <c r="AB357" s="16"/>
      <c r="AC357" s="16"/>
      <c r="AD357" s="16"/>
    </row>
    <row r="358" spans="2:30" ht="15.75" customHeight="1">
      <c r="B358" s="14"/>
      <c r="C358" s="14"/>
      <c r="D358" s="14"/>
      <c r="E358" s="14"/>
      <c r="F358" s="14"/>
      <c r="G358" s="14"/>
      <c r="H358" s="14"/>
      <c r="I358" s="14"/>
      <c r="J358" s="14"/>
      <c r="K358" s="14"/>
      <c r="L358" s="14"/>
      <c r="M358" s="14"/>
      <c r="N358" s="14"/>
      <c r="O358" s="16"/>
      <c r="P358" s="16"/>
      <c r="Q358" s="16"/>
      <c r="R358" s="16"/>
      <c r="S358" s="16"/>
      <c r="T358" s="16"/>
      <c r="U358" s="16"/>
      <c r="V358" s="16"/>
      <c r="W358" s="16"/>
      <c r="X358" s="16"/>
      <c r="Y358" s="16"/>
      <c r="Z358" s="16"/>
      <c r="AA358" s="16"/>
      <c r="AB358" s="16"/>
      <c r="AC358" s="16"/>
      <c r="AD358" s="16"/>
    </row>
    <row r="359" spans="2:30" ht="15.75" customHeight="1">
      <c r="B359" s="14"/>
      <c r="C359" s="14"/>
      <c r="D359" s="14"/>
      <c r="E359" s="14"/>
      <c r="F359" s="14"/>
      <c r="G359" s="14"/>
      <c r="H359" s="14"/>
      <c r="I359" s="14"/>
      <c r="J359" s="14"/>
      <c r="K359" s="14"/>
      <c r="L359" s="14"/>
      <c r="M359" s="14"/>
      <c r="N359" s="14"/>
      <c r="O359" s="16"/>
      <c r="P359" s="16"/>
      <c r="Q359" s="16"/>
      <c r="R359" s="16"/>
      <c r="S359" s="16"/>
      <c r="T359" s="16"/>
      <c r="U359" s="16"/>
      <c r="V359" s="16"/>
      <c r="W359" s="16"/>
      <c r="X359" s="16"/>
      <c r="Y359" s="16"/>
      <c r="Z359" s="16"/>
      <c r="AA359" s="16"/>
      <c r="AB359" s="16"/>
      <c r="AC359" s="16"/>
      <c r="AD359" s="16"/>
    </row>
    <row r="360" spans="2:30" ht="15.75" customHeight="1">
      <c r="B360" s="14"/>
      <c r="C360" s="14"/>
      <c r="D360" s="14"/>
      <c r="E360" s="14"/>
      <c r="F360" s="14"/>
      <c r="G360" s="14"/>
      <c r="H360" s="14"/>
      <c r="I360" s="14"/>
      <c r="J360" s="14"/>
      <c r="K360" s="14"/>
      <c r="L360" s="14"/>
      <c r="M360" s="14"/>
      <c r="N360" s="14"/>
      <c r="O360" s="16"/>
      <c r="P360" s="16"/>
      <c r="Q360" s="16"/>
      <c r="R360" s="16"/>
      <c r="S360" s="16"/>
      <c r="T360" s="16"/>
      <c r="U360" s="16"/>
      <c r="V360" s="16"/>
      <c r="W360" s="16"/>
      <c r="X360" s="16"/>
      <c r="Y360" s="16"/>
      <c r="Z360" s="16"/>
      <c r="AA360" s="16"/>
      <c r="AB360" s="16"/>
      <c r="AC360" s="16"/>
      <c r="AD360" s="16"/>
    </row>
    <row r="361" spans="2:30" ht="15.75" customHeight="1">
      <c r="B361" s="14"/>
      <c r="C361" s="14"/>
      <c r="D361" s="14"/>
      <c r="E361" s="14"/>
      <c r="F361" s="14"/>
      <c r="G361" s="14"/>
      <c r="H361" s="14"/>
      <c r="I361" s="14"/>
      <c r="J361" s="14"/>
      <c r="K361" s="14"/>
      <c r="L361" s="14"/>
      <c r="M361" s="14"/>
      <c r="N361" s="14"/>
      <c r="O361" s="16"/>
      <c r="P361" s="16"/>
      <c r="Q361" s="16"/>
      <c r="R361" s="16"/>
      <c r="S361" s="16"/>
      <c r="T361" s="16"/>
      <c r="U361" s="16"/>
      <c r="V361" s="16"/>
      <c r="W361" s="16"/>
      <c r="X361" s="16"/>
      <c r="Y361" s="16"/>
      <c r="Z361" s="16"/>
      <c r="AA361" s="16"/>
      <c r="AB361" s="16"/>
      <c r="AC361" s="16"/>
      <c r="AD361" s="16"/>
    </row>
    <row r="362" spans="2:30" ht="15.75" customHeight="1">
      <c r="B362" s="14"/>
      <c r="C362" s="14"/>
      <c r="D362" s="14"/>
      <c r="E362" s="14"/>
      <c r="F362" s="14"/>
      <c r="G362" s="14"/>
      <c r="H362" s="14"/>
      <c r="I362" s="14"/>
      <c r="J362" s="14"/>
      <c r="K362" s="14"/>
      <c r="L362" s="14"/>
      <c r="M362" s="14"/>
      <c r="N362" s="14"/>
      <c r="O362" s="16"/>
      <c r="P362" s="16"/>
      <c r="Q362" s="16"/>
      <c r="R362" s="16"/>
      <c r="S362" s="16"/>
      <c r="T362" s="16"/>
      <c r="U362" s="16"/>
      <c r="V362" s="16"/>
      <c r="W362" s="16"/>
      <c r="X362" s="16"/>
      <c r="Y362" s="16"/>
      <c r="Z362" s="16"/>
      <c r="AA362" s="16"/>
      <c r="AB362" s="16"/>
      <c r="AC362" s="16"/>
      <c r="AD362" s="16"/>
    </row>
    <row r="363" spans="2:30" ht="15.75" customHeight="1">
      <c r="B363" s="14"/>
      <c r="C363" s="14"/>
      <c r="D363" s="14"/>
      <c r="E363" s="14"/>
      <c r="F363" s="14"/>
      <c r="G363" s="14"/>
      <c r="H363" s="14"/>
      <c r="I363" s="14"/>
      <c r="J363" s="14"/>
      <c r="K363" s="14"/>
      <c r="L363" s="14"/>
      <c r="M363" s="14"/>
      <c r="N363" s="14"/>
      <c r="O363" s="16"/>
      <c r="P363" s="16"/>
      <c r="Q363" s="16"/>
      <c r="R363" s="16"/>
      <c r="S363" s="16"/>
      <c r="T363" s="16"/>
      <c r="U363" s="16"/>
      <c r="V363" s="16"/>
      <c r="W363" s="16"/>
      <c r="X363" s="16"/>
      <c r="Y363" s="16"/>
      <c r="Z363" s="16"/>
      <c r="AA363" s="16"/>
      <c r="AB363" s="16"/>
      <c r="AC363" s="16"/>
      <c r="AD363" s="16"/>
    </row>
    <row r="364" spans="2:30" ht="15.75" customHeight="1">
      <c r="B364" s="14"/>
      <c r="C364" s="14"/>
      <c r="D364" s="14"/>
      <c r="E364" s="14"/>
      <c r="F364" s="14"/>
      <c r="G364" s="14"/>
      <c r="H364" s="14"/>
      <c r="I364" s="14"/>
      <c r="J364" s="14"/>
      <c r="K364" s="14"/>
      <c r="L364" s="14"/>
      <c r="M364" s="14"/>
      <c r="N364" s="14"/>
      <c r="O364" s="16"/>
      <c r="P364" s="16"/>
      <c r="Q364" s="16"/>
      <c r="R364" s="16"/>
      <c r="S364" s="16"/>
      <c r="T364" s="16"/>
      <c r="U364" s="16"/>
      <c r="V364" s="16"/>
      <c r="W364" s="16"/>
      <c r="X364" s="16"/>
      <c r="Y364" s="16"/>
      <c r="Z364" s="16"/>
      <c r="AA364" s="16"/>
      <c r="AB364" s="16"/>
      <c r="AC364" s="16"/>
      <c r="AD364" s="16"/>
    </row>
    <row r="365" spans="2:30" ht="15.75" customHeight="1">
      <c r="B365" s="14"/>
      <c r="C365" s="14"/>
      <c r="D365" s="14"/>
      <c r="E365" s="14"/>
      <c r="F365" s="14"/>
      <c r="G365" s="14"/>
      <c r="H365" s="14"/>
      <c r="I365" s="14"/>
      <c r="J365" s="14"/>
      <c r="K365" s="14"/>
      <c r="L365" s="14"/>
      <c r="M365" s="14"/>
      <c r="N365" s="14"/>
      <c r="O365" s="16"/>
      <c r="P365" s="16"/>
      <c r="Q365" s="16"/>
      <c r="R365" s="16"/>
      <c r="S365" s="16"/>
      <c r="T365" s="16"/>
      <c r="U365" s="16"/>
      <c r="V365" s="16"/>
      <c r="W365" s="16"/>
      <c r="X365" s="16"/>
      <c r="Y365" s="16"/>
      <c r="Z365" s="16"/>
      <c r="AA365" s="16"/>
      <c r="AB365" s="16"/>
      <c r="AC365" s="16"/>
      <c r="AD365" s="16"/>
    </row>
    <row r="366" spans="2:30" ht="15.75" customHeight="1">
      <c r="B366" s="14"/>
      <c r="C366" s="14"/>
      <c r="D366" s="14"/>
      <c r="E366" s="14"/>
      <c r="F366" s="14"/>
      <c r="G366" s="14"/>
      <c r="H366" s="14"/>
      <c r="I366" s="14"/>
      <c r="J366" s="14"/>
      <c r="K366" s="14"/>
      <c r="L366" s="14"/>
      <c r="M366" s="14"/>
      <c r="N366" s="14"/>
      <c r="O366" s="16"/>
      <c r="P366" s="16"/>
      <c r="Q366" s="16"/>
      <c r="R366" s="16"/>
      <c r="S366" s="16"/>
      <c r="T366" s="16"/>
      <c r="U366" s="16"/>
      <c r="V366" s="16"/>
      <c r="W366" s="16"/>
      <c r="X366" s="16"/>
      <c r="Y366" s="16"/>
      <c r="Z366" s="16"/>
      <c r="AA366" s="16"/>
      <c r="AB366" s="16"/>
      <c r="AC366" s="16"/>
      <c r="AD366" s="16"/>
    </row>
    <row r="367" spans="2:30" ht="15.75" customHeight="1">
      <c r="B367" s="14"/>
      <c r="C367" s="14"/>
      <c r="D367" s="14"/>
      <c r="E367" s="14"/>
      <c r="F367" s="14"/>
      <c r="G367" s="14"/>
      <c r="H367" s="14"/>
      <c r="I367" s="14"/>
      <c r="J367" s="14"/>
      <c r="K367" s="14"/>
      <c r="L367" s="14"/>
      <c r="M367" s="14"/>
      <c r="N367" s="14"/>
      <c r="O367" s="16"/>
      <c r="P367" s="16"/>
      <c r="Q367" s="16"/>
      <c r="R367" s="16"/>
      <c r="S367" s="16"/>
      <c r="T367" s="16"/>
      <c r="U367" s="16"/>
      <c r="V367" s="16"/>
      <c r="W367" s="16"/>
      <c r="X367" s="16"/>
      <c r="Y367" s="16"/>
      <c r="Z367" s="16"/>
      <c r="AA367" s="16"/>
      <c r="AB367" s="16"/>
      <c r="AC367" s="16"/>
      <c r="AD367" s="16"/>
    </row>
    <row r="368" spans="2:30" ht="15.75" customHeight="1">
      <c r="B368" s="14"/>
      <c r="C368" s="14"/>
      <c r="D368" s="14"/>
      <c r="E368" s="14"/>
      <c r="F368" s="14"/>
      <c r="G368" s="14"/>
      <c r="H368" s="14"/>
      <c r="I368" s="14"/>
      <c r="J368" s="14"/>
      <c r="K368" s="14"/>
      <c r="L368" s="14"/>
      <c r="M368" s="14"/>
      <c r="N368" s="14"/>
      <c r="O368" s="16"/>
      <c r="P368" s="16"/>
      <c r="Q368" s="16"/>
      <c r="R368" s="16"/>
      <c r="S368" s="16"/>
      <c r="T368" s="16"/>
      <c r="U368" s="16"/>
      <c r="V368" s="16"/>
      <c r="W368" s="16"/>
      <c r="X368" s="16"/>
      <c r="Y368" s="16"/>
      <c r="Z368" s="16"/>
      <c r="AA368" s="16"/>
      <c r="AB368" s="16"/>
      <c r="AC368" s="16"/>
      <c r="AD368" s="16"/>
    </row>
    <row r="369" spans="2:30" ht="15.75" customHeight="1">
      <c r="B369" s="14"/>
      <c r="C369" s="14"/>
      <c r="D369" s="14"/>
      <c r="E369" s="14"/>
      <c r="F369" s="14"/>
      <c r="G369" s="14"/>
      <c r="H369" s="14"/>
      <c r="I369" s="14"/>
      <c r="J369" s="14"/>
      <c r="K369" s="14"/>
      <c r="L369" s="14"/>
      <c r="M369" s="14"/>
      <c r="N369" s="14"/>
      <c r="O369" s="16"/>
      <c r="P369" s="16"/>
      <c r="Q369" s="16"/>
      <c r="R369" s="16"/>
      <c r="S369" s="16"/>
      <c r="T369" s="16"/>
      <c r="U369" s="16"/>
      <c r="V369" s="16"/>
      <c r="W369" s="16"/>
      <c r="X369" s="16"/>
      <c r="Y369" s="16"/>
      <c r="Z369" s="16"/>
      <c r="AA369" s="16"/>
      <c r="AB369" s="16"/>
      <c r="AC369" s="16"/>
      <c r="AD369" s="16"/>
    </row>
    <row r="370" spans="2:30" ht="15.75" customHeight="1">
      <c r="B370" s="14"/>
      <c r="C370" s="14"/>
      <c r="D370" s="14"/>
      <c r="E370" s="14"/>
      <c r="F370" s="14"/>
      <c r="G370" s="14"/>
      <c r="H370" s="14"/>
      <c r="I370" s="14"/>
      <c r="J370" s="14"/>
      <c r="K370" s="14"/>
      <c r="L370" s="14"/>
      <c r="M370" s="14"/>
      <c r="N370" s="14"/>
      <c r="O370" s="16"/>
      <c r="P370" s="16"/>
      <c r="Q370" s="16"/>
      <c r="R370" s="16"/>
      <c r="S370" s="16"/>
      <c r="T370" s="16"/>
      <c r="U370" s="16"/>
      <c r="V370" s="16"/>
      <c r="W370" s="16"/>
      <c r="X370" s="16"/>
      <c r="Y370" s="16"/>
      <c r="Z370" s="16"/>
      <c r="AA370" s="16"/>
      <c r="AB370" s="16"/>
      <c r="AC370" s="16"/>
      <c r="AD370" s="16"/>
    </row>
    <row r="371" spans="2:30" ht="15.75" customHeight="1">
      <c r="B371" s="14"/>
      <c r="C371" s="14"/>
      <c r="D371" s="14"/>
      <c r="E371" s="14"/>
      <c r="F371" s="14"/>
      <c r="G371" s="14"/>
      <c r="H371" s="14"/>
      <c r="I371" s="14"/>
      <c r="J371" s="14"/>
      <c r="K371" s="14"/>
      <c r="L371" s="14"/>
      <c r="M371" s="14"/>
      <c r="N371" s="14"/>
      <c r="O371" s="16"/>
      <c r="P371" s="16"/>
      <c r="Q371" s="16"/>
      <c r="R371" s="16"/>
      <c r="S371" s="16"/>
      <c r="T371" s="16"/>
      <c r="U371" s="16"/>
      <c r="V371" s="16"/>
      <c r="W371" s="16"/>
      <c r="X371" s="16"/>
      <c r="Y371" s="16"/>
      <c r="Z371" s="16"/>
      <c r="AA371" s="16"/>
      <c r="AB371" s="16"/>
      <c r="AC371" s="16"/>
      <c r="AD371" s="16"/>
    </row>
    <row r="372" spans="2:30" ht="15.75" customHeight="1">
      <c r="B372" s="14"/>
      <c r="C372" s="14"/>
      <c r="D372" s="14"/>
      <c r="E372" s="14"/>
      <c r="F372" s="14"/>
      <c r="G372" s="14"/>
      <c r="H372" s="14"/>
      <c r="I372" s="14"/>
      <c r="J372" s="14"/>
      <c r="K372" s="14"/>
      <c r="L372" s="14"/>
      <c r="M372" s="14"/>
      <c r="N372" s="14"/>
      <c r="O372" s="16"/>
      <c r="P372" s="16"/>
      <c r="Q372" s="16"/>
      <c r="R372" s="16"/>
      <c r="S372" s="16"/>
      <c r="T372" s="16"/>
      <c r="U372" s="16"/>
      <c r="V372" s="16"/>
      <c r="W372" s="16"/>
      <c r="X372" s="16"/>
      <c r="Y372" s="16"/>
      <c r="Z372" s="16"/>
      <c r="AA372" s="16"/>
      <c r="AB372" s="16"/>
      <c r="AC372" s="16"/>
      <c r="AD372" s="16"/>
    </row>
    <row r="373" spans="2:30" ht="15.75" customHeight="1">
      <c r="B373" s="14"/>
      <c r="C373" s="14"/>
      <c r="D373" s="14"/>
      <c r="E373" s="14"/>
      <c r="F373" s="14"/>
      <c r="G373" s="14"/>
      <c r="H373" s="14"/>
      <c r="I373" s="14"/>
      <c r="J373" s="14"/>
      <c r="K373" s="14"/>
      <c r="L373" s="14"/>
      <c r="M373" s="14"/>
      <c r="N373" s="14"/>
      <c r="O373" s="16"/>
      <c r="P373" s="16"/>
      <c r="Q373" s="16"/>
      <c r="R373" s="16"/>
      <c r="S373" s="16"/>
      <c r="T373" s="16"/>
      <c r="U373" s="16"/>
      <c r="V373" s="16"/>
      <c r="W373" s="16"/>
      <c r="X373" s="16"/>
      <c r="Y373" s="16"/>
      <c r="Z373" s="16"/>
      <c r="AA373" s="16"/>
      <c r="AB373" s="16"/>
      <c r="AC373" s="16"/>
      <c r="AD373" s="16"/>
    </row>
    <row r="374" spans="2:30" ht="15.75" customHeight="1">
      <c r="B374" s="14"/>
      <c r="C374" s="14"/>
      <c r="D374" s="14"/>
      <c r="E374" s="14"/>
      <c r="F374" s="14"/>
      <c r="G374" s="14"/>
      <c r="H374" s="14"/>
      <c r="I374" s="14"/>
      <c r="J374" s="14"/>
      <c r="K374" s="14"/>
      <c r="L374" s="14"/>
      <c r="M374" s="14"/>
      <c r="N374" s="14"/>
      <c r="O374" s="16"/>
      <c r="P374" s="16"/>
      <c r="Q374" s="16"/>
      <c r="R374" s="16"/>
      <c r="S374" s="16"/>
      <c r="T374" s="16"/>
      <c r="U374" s="16"/>
      <c r="V374" s="16"/>
      <c r="W374" s="16"/>
      <c r="X374" s="16"/>
      <c r="Y374" s="16"/>
      <c r="Z374" s="16"/>
      <c r="AA374" s="16"/>
      <c r="AB374" s="16"/>
      <c r="AC374" s="16"/>
      <c r="AD374" s="16"/>
    </row>
    <row r="375" spans="2:30" ht="15.75" customHeight="1">
      <c r="B375" s="14"/>
      <c r="C375" s="14"/>
      <c r="D375" s="14"/>
      <c r="E375" s="14"/>
      <c r="F375" s="14"/>
      <c r="G375" s="14"/>
      <c r="H375" s="14"/>
      <c r="I375" s="14"/>
      <c r="J375" s="14"/>
      <c r="K375" s="14"/>
      <c r="L375" s="14"/>
      <c r="M375" s="14"/>
      <c r="N375" s="14"/>
      <c r="O375" s="16"/>
      <c r="P375" s="16"/>
      <c r="Q375" s="16"/>
      <c r="R375" s="16"/>
      <c r="S375" s="16"/>
      <c r="T375" s="16"/>
      <c r="U375" s="16"/>
      <c r="V375" s="16"/>
      <c r="W375" s="16"/>
      <c r="X375" s="16"/>
      <c r="Y375" s="16"/>
      <c r="Z375" s="16"/>
      <c r="AA375" s="16"/>
      <c r="AB375" s="16"/>
      <c r="AC375" s="16"/>
      <c r="AD375" s="16"/>
    </row>
    <row r="376" spans="2:30" ht="15.75" customHeight="1">
      <c r="B376" s="14"/>
      <c r="C376" s="14"/>
      <c r="D376" s="14"/>
      <c r="E376" s="14"/>
      <c r="F376" s="14"/>
      <c r="G376" s="14"/>
      <c r="H376" s="14"/>
      <c r="I376" s="14"/>
      <c r="J376" s="14"/>
      <c r="K376" s="14"/>
      <c r="L376" s="14"/>
      <c r="M376" s="14"/>
      <c r="N376" s="14"/>
      <c r="O376" s="16"/>
      <c r="P376" s="16"/>
      <c r="Q376" s="16"/>
      <c r="R376" s="16"/>
      <c r="S376" s="16"/>
      <c r="T376" s="16"/>
      <c r="U376" s="16"/>
      <c r="V376" s="16"/>
      <c r="W376" s="16"/>
      <c r="X376" s="16"/>
      <c r="Y376" s="16"/>
      <c r="Z376" s="16"/>
      <c r="AA376" s="16"/>
      <c r="AB376" s="16"/>
      <c r="AC376" s="16"/>
      <c r="AD376" s="16"/>
    </row>
    <row r="377" spans="2:30" ht="15.75" customHeight="1">
      <c r="B377" s="14"/>
      <c r="C377" s="14"/>
      <c r="D377" s="14"/>
      <c r="E377" s="14"/>
      <c r="F377" s="14"/>
      <c r="G377" s="14"/>
      <c r="H377" s="14"/>
      <c r="I377" s="14"/>
      <c r="J377" s="14"/>
      <c r="K377" s="14"/>
      <c r="L377" s="14"/>
      <c r="M377" s="14"/>
      <c r="N377" s="14"/>
      <c r="O377" s="16"/>
      <c r="P377" s="16"/>
      <c r="Q377" s="16"/>
      <c r="R377" s="16"/>
      <c r="S377" s="16"/>
      <c r="T377" s="16"/>
      <c r="U377" s="16"/>
      <c r="V377" s="16"/>
      <c r="W377" s="16"/>
      <c r="X377" s="16"/>
      <c r="Y377" s="16"/>
      <c r="Z377" s="16"/>
      <c r="AA377" s="16"/>
      <c r="AB377" s="16"/>
      <c r="AC377" s="16"/>
      <c r="AD377" s="16"/>
    </row>
    <row r="378" spans="2:30" ht="15.75" customHeight="1">
      <c r="B378" s="14"/>
      <c r="C378" s="14"/>
      <c r="D378" s="14"/>
      <c r="E378" s="14"/>
      <c r="F378" s="14"/>
      <c r="G378" s="14"/>
      <c r="H378" s="14"/>
      <c r="I378" s="14"/>
      <c r="J378" s="14"/>
      <c r="K378" s="14"/>
      <c r="L378" s="14"/>
      <c r="M378" s="14"/>
      <c r="N378" s="14"/>
      <c r="O378" s="16"/>
      <c r="P378" s="16"/>
      <c r="Q378" s="16"/>
      <c r="R378" s="16"/>
      <c r="S378" s="16"/>
      <c r="T378" s="16"/>
      <c r="U378" s="16"/>
      <c r="V378" s="16"/>
      <c r="W378" s="16"/>
      <c r="X378" s="16"/>
      <c r="Y378" s="16"/>
      <c r="Z378" s="16"/>
      <c r="AA378" s="16"/>
      <c r="AB378" s="16"/>
      <c r="AC378" s="16"/>
      <c r="AD378" s="16"/>
    </row>
    <row r="379" spans="2:30" ht="15.75" customHeight="1">
      <c r="B379" s="14"/>
      <c r="C379" s="14"/>
      <c r="D379" s="14"/>
      <c r="E379" s="14"/>
      <c r="F379" s="14"/>
      <c r="G379" s="14"/>
      <c r="H379" s="14"/>
      <c r="I379" s="14"/>
      <c r="J379" s="14"/>
      <c r="K379" s="14"/>
      <c r="L379" s="14"/>
      <c r="M379" s="14"/>
      <c r="N379" s="14"/>
      <c r="O379" s="16"/>
      <c r="P379" s="16"/>
      <c r="Q379" s="16"/>
      <c r="R379" s="16"/>
      <c r="S379" s="16"/>
      <c r="T379" s="16"/>
      <c r="U379" s="16"/>
      <c r="V379" s="16"/>
      <c r="W379" s="16"/>
      <c r="X379" s="16"/>
      <c r="Y379" s="16"/>
      <c r="Z379" s="16"/>
      <c r="AA379" s="16"/>
      <c r="AB379" s="16"/>
      <c r="AC379" s="16"/>
      <c r="AD379" s="16"/>
    </row>
    <row r="380" spans="2:30" ht="15.75" customHeight="1">
      <c r="B380" s="14"/>
      <c r="C380" s="14"/>
      <c r="D380" s="14"/>
      <c r="E380" s="14"/>
      <c r="F380" s="14"/>
      <c r="G380" s="14"/>
      <c r="H380" s="14"/>
      <c r="I380" s="14"/>
      <c r="J380" s="14"/>
      <c r="K380" s="14"/>
      <c r="L380" s="14"/>
      <c r="M380" s="14"/>
      <c r="N380" s="14"/>
      <c r="O380" s="16"/>
      <c r="P380" s="16"/>
      <c r="Q380" s="16"/>
      <c r="R380" s="16"/>
      <c r="S380" s="16"/>
      <c r="T380" s="16"/>
      <c r="U380" s="16"/>
      <c r="V380" s="16"/>
      <c r="W380" s="16"/>
      <c r="X380" s="16"/>
      <c r="Y380" s="16"/>
      <c r="Z380" s="16"/>
      <c r="AA380" s="16"/>
      <c r="AB380" s="16"/>
      <c r="AC380" s="16"/>
      <c r="AD380" s="16"/>
    </row>
    <row r="381" spans="2:30" ht="15.75" customHeight="1">
      <c r="B381" s="14"/>
      <c r="C381" s="14"/>
      <c r="D381" s="14"/>
      <c r="E381" s="14"/>
      <c r="F381" s="14"/>
      <c r="G381" s="14"/>
      <c r="H381" s="14"/>
      <c r="I381" s="14"/>
      <c r="J381" s="14"/>
      <c r="K381" s="14"/>
      <c r="L381" s="14"/>
      <c r="M381" s="14"/>
      <c r="N381" s="14"/>
      <c r="O381" s="16"/>
      <c r="P381" s="16"/>
      <c r="Q381" s="16"/>
      <c r="R381" s="16"/>
      <c r="S381" s="16"/>
      <c r="T381" s="16"/>
      <c r="U381" s="16"/>
      <c r="V381" s="16"/>
      <c r="W381" s="16"/>
      <c r="X381" s="16"/>
      <c r="Y381" s="16"/>
      <c r="Z381" s="16"/>
      <c r="AA381" s="16"/>
      <c r="AB381" s="16"/>
      <c r="AC381" s="16"/>
      <c r="AD381" s="16"/>
    </row>
    <row r="382" spans="2:30" ht="15.75" customHeight="1">
      <c r="B382" s="14"/>
      <c r="C382" s="14"/>
      <c r="D382" s="14"/>
      <c r="E382" s="14"/>
      <c r="F382" s="14"/>
      <c r="G382" s="14"/>
      <c r="H382" s="14"/>
      <c r="I382" s="14"/>
      <c r="J382" s="14"/>
      <c r="K382" s="14"/>
      <c r="L382" s="14"/>
      <c r="M382" s="14"/>
      <c r="N382" s="14"/>
      <c r="O382" s="16"/>
      <c r="P382" s="16"/>
      <c r="Q382" s="16"/>
      <c r="R382" s="16"/>
      <c r="S382" s="16"/>
      <c r="T382" s="16"/>
      <c r="U382" s="16"/>
      <c r="V382" s="16"/>
      <c r="W382" s="16"/>
      <c r="X382" s="16"/>
      <c r="Y382" s="16"/>
      <c r="Z382" s="16"/>
      <c r="AA382" s="16"/>
      <c r="AB382" s="16"/>
      <c r="AC382" s="16"/>
      <c r="AD382" s="16"/>
    </row>
    <row r="383" spans="2:30" ht="15.75" customHeight="1">
      <c r="B383" s="14"/>
      <c r="C383" s="14"/>
      <c r="D383" s="14"/>
      <c r="E383" s="14"/>
      <c r="F383" s="14"/>
      <c r="G383" s="14"/>
      <c r="H383" s="14"/>
      <c r="I383" s="14"/>
      <c r="J383" s="14"/>
      <c r="K383" s="14"/>
      <c r="L383" s="14"/>
      <c r="M383" s="14"/>
      <c r="N383" s="14"/>
      <c r="O383" s="16"/>
      <c r="P383" s="16"/>
      <c r="Q383" s="16"/>
      <c r="R383" s="16"/>
      <c r="S383" s="16"/>
      <c r="T383" s="16"/>
      <c r="U383" s="16"/>
      <c r="V383" s="16"/>
      <c r="W383" s="16"/>
      <c r="X383" s="16"/>
      <c r="Y383" s="16"/>
      <c r="Z383" s="16"/>
      <c r="AA383" s="16"/>
      <c r="AB383" s="16"/>
      <c r="AC383" s="16"/>
      <c r="AD383" s="16"/>
    </row>
    <row r="384" spans="2:30" ht="15.75" customHeight="1">
      <c r="B384" s="14"/>
      <c r="C384" s="14"/>
      <c r="D384" s="14"/>
      <c r="E384" s="14"/>
      <c r="F384" s="14"/>
      <c r="G384" s="14"/>
      <c r="H384" s="14"/>
      <c r="I384" s="14"/>
      <c r="J384" s="14"/>
      <c r="K384" s="14"/>
      <c r="L384" s="14"/>
      <c r="M384" s="14"/>
      <c r="N384" s="14"/>
      <c r="O384" s="16"/>
      <c r="P384" s="16"/>
      <c r="Q384" s="16"/>
      <c r="R384" s="16"/>
      <c r="S384" s="16"/>
      <c r="T384" s="16"/>
      <c r="U384" s="16"/>
      <c r="V384" s="16"/>
      <c r="W384" s="16"/>
      <c r="X384" s="16"/>
      <c r="Y384" s="16"/>
      <c r="Z384" s="16"/>
      <c r="AA384" s="16"/>
      <c r="AB384" s="16"/>
      <c r="AC384" s="16"/>
      <c r="AD384" s="16"/>
    </row>
    <row r="385" spans="2:30" ht="15.75" customHeight="1">
      <c r="B385" s="14"/>
      <c r="C385" s="14"/>
      <c r="D385" s="14"/>
      <c r="E385" s="14"/>
      <c r="F385" s="14"/>
      <c r="G385" s="14"/>
      <c r="H385" s="14"/>
      <c r="I385" s="14"/>
      <c r="J385" s="14"/>
      <c r="K385" s="14"/>
      <c r="L385" s="14"/>
      <c r="M385" s="14"/>
      <c r="N385" s="14"/>
      <c r="O385" s="16"/>
      <c r="P385" s="16"/>
      <c r="Q385" s="16"/>
      <c r="R385" s="16"/>
      <c r="S385" s="16"/>
      <c r="T385" s="16"/>
      <c r="U385" s="16"/>
      <c r="V385" s="16"/>
      <c r="W385" s="16"/>
      <c r="X385" s="16"/>
      <c r="Y385" s="16"/>
      <c r="Z385" s="16"/>
      <c r="AA385" s="16"/>
      <c r="AB385" s="16"/>
      <c r="AC385" s="16"/>
      <c r="AD385" s="16"/>
    </row>
    <row r="386" spans="2:30" ht="15.75" customHeight="1">
      <c r="B386" s="14"/>
      <c r="C386" s="14"/>
      <c r="D386" s="14"/>
      <c r="E386" s="14"/>
      <c r="F386" s="14"/>
      <c r="G386" s="14"/>
      <c r="H386" s="14"/>
      <c r="I386" s="14"/>
      <c r="J386" s="14"/>
      <c r="K386" s="14"/>
      <c r="L386" s="14"/>
      <c r="M386" s="14"/>
      <c r="N386" s="14"/>
      <c r="O386" s="16"/>
      <c r="P386" s="16"/>
      <c r="Q386" s="16"/>
      <c r="R386" s="16"/>
      <c r="S386" s="16"/>
      <c r="T386" s="16"/>
      <c r="U386" s="16"/>
      <c r="V386" s="16"/>
      <c r="W386" s="16"/>
      <c r="X386" s="16"/>
      <c r="Y386" s="16"/>
      <c r="Z386" s="16"/>
      <c r="AA386" s="16"/>
      <c r="AB386" s="16"/>
      <c r="AC386" s="16"/>
      <c r="AD386" s="16"/>
    </row>
    <row r="387" spans="2:30" ht="15.75" customHeight="1">
      <c r="B387" s="14"/>
      <c r="C387" s="14"/>
      <c r="D387" s="14"/>
      <c r="E387" s="14"/>
      <c r="F387" s="14"/>
      <c r="G387" s="14"/>
      <c r="H387" s="14"/>
      <c r="I387" s="14"/>
      <c r="J387" s="14"/>
      <c r="K387" s="14"/>
      <c r="L387" s="14"/>
      <c r="M387" s="14"/>
      <c r="N387" s="14"/>
      <c r="O387" s="16"/>
      <c r="P387" s="16"/>
      <c r="Q387" s="16"/>
      <c r="R387" s="16"/>
      <c r="S387" s="16"/>
      <c r="T387" s="16"/>
      <c r="U387" s="16"/>
      <c r="V387" s="16"/>
      <c r="W387" s="16"/>
      <c r="X387" s="16"/>
      <c r="Y387" s="16"/>
      <c r="Z387" s="16"/>
      <c r="AA387" s="16"/>
      <c r="AB387" s="16"/>
      <c r="AC387" s="16"/>
      <c r="AD387" s="16"/>
    </row>
    <row r="388" spans="2:30" ht="15.75" customHeight="1">
      <c r="B388" s="14"/>
      <c r="C388" s="14"/>
      <c r="D388" s="14"/>
      <c r="E388" s="14"/>
      <c r="F388" s="14"/>
      <c r="G388" s="14"/>
      <c r="H388" s="14"/>
      <c r="I388" s="14"/>
      <c r="J388" s="14"/>
      <c r="K388" s="14"/>
      <c r="L388" s="14"/>
      <c r="M388" s="14"/>
      <c r="N388" s="14"/>
      <c r="O388" s="16"/>
      <c r="P388" s="16"/>
      <c r="Q388" s="16"/>
      <c r="R388" s="16"/>
      <c r="S388" s="16"/>
      <c r="T388" s="16"/>
      <c r="U388" s="16"/>
      <c r="V388" s="16"/>
      <c r="W388" s="16"/>
      <c r="X388" s="16"/>
      <c r="Y388" s="16"/>
      <c r="Z388" s="16"/>
      <c r="AA388" s="16"/>
      <c r="AB388" s="16"/>
      <c r="AC388" s="16"/>
      <c r="AD388" s="16"/>
    </row>
    <row r="389" spans="2:30" ht="15.75" customHeight="1">
      <c r="B389" s="14"/>
      <c r="C389" s="14"/>
      <c r="D389" s="14"/>
      <c r="E389" s="14"/>
      <c r="F389" s="14"/>
      <c r="G389" s="14"/>
      <c r="H389" s="14"/>
      <c r="I389" s="14"/>
      <c r="J389" s="14"/>
      <c r="K389" s="14"/>
      <c r="L389" s="14"/>
      <c r="M389" s="14"/>
      <c r="N389" s="14"/>
      <c r="O389" s="16"/>
      <c r="P389" s="16"/>
      <c r="Q389" s="16"/>
      <c r="R389" s="16"/>
      <c r="S389" s="16"/>
      <c r="T389" s="16"/>
      <c r="U389" s="16"/>
      <c r="V389" s="16"/>
      <c r="W389" s="16"/>
      <c r="X389" s="16"/>
      <c r="Y389" s="16"/>
      <c r="Z389" s="16"/>
      <c r="AA389" s="16"/>
      <c r="AB389" s="16"/>
      <c r="AC389" s="16"/>
      <c r="AD389" s="16"/>
    </row>
    <row r="390" spans="2:30" ht="15.75" customHeight="1">
      <c r="B390" s="14"/>
      <c r="C390" s="14"/>
      <c r="D390" s="14"/>
      <c r="E390" s="14"/>
      <c r="F390" s="14"/>
      <c r="G390" s="14"/>
      <c r="H390" s="14"/>
      <c r="I390" s="14"/>
      <c r="J390" s="14"/>
      <c r="K390" s="14"/>
      <c r="L390" s="14"/>
      <c r="M390" s="14"/>
      <c r="N390" s="14"/>
      <c r="O390" s="16"/>
      <c r="P390" s="16"/>
      <c r="Q390" s="16"/>
      <c r="R390" s="16"/>
      <c r="S390" s="16"/>
      <c r="T390" s="16"/>
      <c r="U390" s="16"/>
      <c r="V390" s="16"/>
      <c r="W390" s="16"/>
      <c r="X390" s="16"/>
      <c r="Y390" s="16"/>
      <c r="Z390" s="16"/>
      <c r="AA390" s="16"/>
      <c r="AB390" s="16"/>
      <c r="AC390" s="16"/>
      <c r="AD390" s="16"/>
    </row>
    <row r="391" spans="2:30" ht="15.75" customHeight="1">
      <c r="B391" s="14"/>
      <c r="C391" s="14"/>
      <c r="D391" s="14"/>
      <c r="E391" s="14"/>
      <c r="F391" s="14"/>
      <c r="G391" s="14"/>
      <c r="H391" s="14"/>
      <c r="I391" s="14"/>
      <c r="J391" s="14"/>
      <c r="K391" s="14"/>
      <c r="L391" s="14"/>
      <c r="M391" s="14"/>
      <c r="N391" s="14"/>
      <c r="O391" s="16"/>
      <c r="P391" s="16"/>
      <c r="Q391" s="16"/>
      <c r="R391" s="16"/>
      <c r="S391" s="16"/>
      <c r="T391" s="16"/>
      <c r="U391" s="16"/>
      <c r="V391" s="16"/>
      <c r="W391" s="16"/>
      <c r="X391" s="16"/>
      <c r="Y391" s="16"/>
      <c r="Z391" s="16"/>
      <c r="AA391" s="16"/>
      <c r="AB391" s="16"/>
      <c r="AC391" s="16"/>
      <c r="AD391" s="16"/>
    </row>
    <row r="392" spans="2:30" ht="15.75" customHeight="1">
      <c r="B392" s="14"/>
      <c r="C392" s="14"/>
      <c r="D392" s="14"/>
      <c r="E392" s="14"/>
      <c r="F392" s="14"/>
      <c r="G392" s="14"/>
      <c r="H392" s="14"/>
      <c r="I392" s="14"/>
      <c r="J392" s="14"/>
      <c r="K392" s="14"/>
      <c r="L392" s="14"/>
      <c r="M392" s="14"/>
      <c r="N392" s="14"/>
      <c r="O392" s="16"/>
      <c r="P392" s="16"/>
      <c r="Q392" s="16"/>
      <c r="R392" s="16"/>
      <c r="S392" s="16"/>
      <c r="T392" s="16"/>
      <c r="U392" s="16"/>
      <c r="V392" s="16"/>
      <c r="W392" s="16"/>
      <c r="X392" s="16"/>
      <c r="Y392" s="16"/>
      <c r="Z392" s="16"/>
      <c r="AA392" s="16"/>
      <c r="AB392" s="16"/>
      <c r="AC392" s="16"/>
      <c r="AD392" s="16"/>
    </row>
    <row r="393" spans="2:30" ht="15.75" customHeight="1">
      <c r="B393" s="14"/>
      <c r="C393" s="14"/>
      <c r="D393" s="14"/>
      <c r="E393" s="14"/>
      <c r="F393" s="14"/>
      <c r="G393" s="14"/>
      <c r="H393" s="14"/>
      <c r="I393" s="14"/>
      <c r="J393" s="14"/>
      <c r="K393" s="14"/>
      <c r="L393" s="14"/>
      <c r="M393" s="14"/>
      <c r="N393" s="14"/>
      <c r="O393" s="16"/>
      <c r="P393" s="16"/>
      <c r="Q393" s="16"/>
      <c r="R393" s="16"/>
      <c r="S393" s="16"/>
      <c r="T393" s="16"/>
      <c r="U393" s="16"/>
      <c r="V393" s="16"/>
      <c r="W393" s="16"/>
      <c r="X393" s="16"/>
      <c r="Y393" s="16"/>
      <c r="Z393" s="16"/>
      <c r="AA393" s="16"/>
      <c r="AB393" s="16"/>
      <c r="AC393" s="16"/>
      <c r="AD393" s="16"/>
    </row>
    <row r="394" spans="2:30" ht="15.75" customHeight="1">
      <c r="B394" s="14"/>
      <c r="C394" s="14"/>
      <c r="D394" s="14"/>
      <c r="E394" s="14"/>
      <c r="F394" s="14"/>
      <c r="G394" s="14"/>
      <c r="H394" s="14"/>
      <c r="I394" s="14"/>
      <c r="J394" s="14"/>
      <c r="K394" s="14"/>
      <c r="L394" s="14"/>
      <c r="M394" s="14"/>
      <c r="N394" s="14"/>
      <c r="O394" s="16"/>
      <c r="P394" s="16"/>
      <c r="Q394" s="16"/>
      <c r="R394" s="16"/>
      <c r="S394" s="16"/>
      <c r="T394" s="16"/>
      <c r="U394" s="16"/>
      <c r="V394" s="16"/>
      <c r="W394" s="16"/>
      <c r="X394" s="16"/>
      <c r="Y394" s="16"/>
      <c r="Z394" s="16"/>
      <c r="AA394" s="16"/>
      <c r="AB394" s="16"/>
      <c r="AC394" s="16"/>
      <c r="AD394" s="16"/>
    </row>
    <row r="395" spans="2:30" ht="15.75" customHeight="1">
      <c r="B395" s="14"/>
      <c r="C395" s="14"/>
      <c r="D395" s="14"/>
      <c r="E395" s="14"/>
      <c r="F395" s="14"/>
      <c r="G395" s="14"/>
      <c r="H395" s="14"/>
      <c r="I395" s="14"/>
      <c r="J395" s="14"/>
      <c r="K395" s="14"/>
      <c r="L395" s="14"/>
      <c r="M395" s="14"/>
      <c r="N395" s="14"/>
      <c r="O395" s="16"/>
      <c r="P395" s="16"/>
      <c r="Q395" s="16"/>
      <c r="R395" s="16"/>
      <c r="S395" s="16"/>
      <c r="T395" s="16"/>
      <c r="U395" s="16"/>
      <c r="V395" s="16"/>
      <c r="W395" s="16"/>
      <c r="X395" s="16"/>
      <c r="Y395" s="16"/>
      <c r="Z395" s="16"/>
      <c r="AA395" s="16"/>
      <c r="AB395" s="16"/>
      <c r="AC395" s="16"/>
      <c r="AD395" s="16"/>
    </row>
    <row r="396" spans="2:30" ht="15.75" customHeight="1">
      <c r="B396" s="14"/>
      <c r="C396" s="14"/>
      <c r="D396" s="14"/>
      <c r="E396" s="14"/>
      <c r="F396" s="14"/>
      <c r="G396" s="14"/>
      <c r="H396" s="14"/>
      <c r="I396" s="14"/>
      <c r="J396" s="14"/>
      <c r="K396" s="14"/>
      <c r="L396" s="14"/>
      <c r="M396" s="14"/>
      <c r="N396" s="14"/>
      <c r="O396" s="16"/>
      <c r="P396" s="16"/>
      <c r="Q396" s="16"/>
      <c r="R396" s="16"/>
      <c r="S396" s="16"/>
      <c r="T396" s="16"/>
      <c r="U396" s="16"/>
      <c r="V396" s="16"/>
      <c r="W396" s="16"/>
      <c r="X396" s="16"/>
      <c r="Y396" s="16"/>
      <c r="Z396" s="16"/>
      <c r="AA396" s="16"/>
      <c r="AB396" s="16"/>
      <c r="AC396" s="16"/>
      <c r="AD396" s="16"/>
    </row>
    <row r="397" spans="2:30" ht="15.75" customHeight="1">
      <c r="B397" s="14"/>
      <c r="C397" s="14"/>
      <c r="D397" s="14"/>
      <c r="E397" s="14"/>
      <c r="F397" s="14"/>
      <c r="G397" s="14"/>
      <c r="H397" s="14"/>
      <c r="I397" s="14"/>
      <c r="J397" s="14"/>
      <c r="K397" s="14"/>
      <c r="L397" s="14"/>
      <c r="M397" s="14"/>
      <c r="N397" s="14"/>
      <c r="O397" s="16"/>
      <c r="P397" s="16"/>
      <c r="Q397" s="16"/>
      <c r="R397" s="16"/>
      <c r="S397" s="16"/>
      <c r="T397" s="16"/>
      <c r="U397" s="16"/>
      <c r="V397" s="16"/>
      <c r="W397" s="16"/>
      <c r="X397" s="16"/>
      <c r="Y397" s="16"/>
      <c r="Z397" s="16"/>
      <c r="AA397" s="16"/>
      <c r="AB397" s="16"/>
      <c r="AC397" s="16"/>
      <c r="AD397" s="16"/>
    </row>
    <row r="398" spans="2:30" ht="15.75" customHeight="1">
      <c r="B398" s="14"/>
      <c r="C398" s="14"/>
      <c r="D398" s="14"/>
      <c r="E398" s="14"/>
      <c r="F398" s="14"/>
      <c r="G398" s="14"/>
      <c r="H398" s="14"/>
      <c r="I398" s="14"/>
      <c r="J398" s="14"/>
      <c r="K398" s="14"/>
      <c r="L398" s="14"/>
      <c r="M398" s="14"/>
      <c r="N398" s="14"/>
      <c r="O398" s="16"/>
      <c r="P398" s="16"/>
      <c r="Q398" s="16"/>
      <c r="R398" s="16"/>
      <c r="S398" s="16"/>
      <c r="T398" s="16"/>
      <c r="U398" s="16"/>
      <c r="V398" s="16"/>
      <c r="W398" s="16"/>
      <c r="X398" s="16"/>
      <c r="Y398" s="16"/>
      <c r="Z398" s="16"/>
      <c r="AA398" s="16"/>
      <c r="AB398" s="16"/>
      <c r="AC398" s="16"/>
      <c r="AD398" s="16"/>
    </row>
    <row r="399" spans="2:30" ht="15.75" customHeight="1">
      <c r="B399" s="14"/>
      <c r="C399" s="14"/>
      <c r="D399" s="14"/>
      <c r="E399" s="14"/>
      <c r="F399" s="14"/>
      <c r="G399" s="14"/>
      <c r="H399" s="14"/>
      <c r="I399" s="14"/>
      <c r="J399" s="14"/>
      <c r="K399" s="14"/>
      <c r="L399" s="14"/>
      <c r="M399" s="14"/>
      <c r="N399" s="14"/>
      <c r="O399" s="16"/>
      <c r="P399" s="16"/>
      <c r="Q399" s="16"/>
      <c r="R399" s="16"/>
      <c r="S399" s="16"/>
      <c r="T399" s="16"/>
      <c r="U399" s="16"/>
      <c r="V399" s="16"/>
      <c r="W399" s="16"/>
      <c r="X399" s="16"/>
      <c r="Y399" s="16"/>
      <c r="Z399" s="16"/>
      <c r="AA399" s="16"/>
      <c r="AB399" s="16"/>
      <c r="AC399" s="16"/>
      <c r="AD399" s="16"/>
    </row>
    <row r="400" spans="2:30" ht="15.75" customHeight="1">
      <c r="B400" s="14"/>
      <c r="C400" s="14"/>
      <c r="D400" s="14"/>
      <c r="E400" s="14"/>
      <c r="F400" s="14"/>
      <c r="G400" s="14"/>
      <c r="H400" s="14"/>
      <c r="I400" s="14"/>
      <c r="J400" s="14"/>
      <c r="K400" s="14"/>
      <c r="L400" s="14"/>
      <c r="M400" s="14"/>
      <c r="N400" s="14"/>
      <c r="O400" s="16"/>
      <c r="P400" s="16"/>
      <c r="Q400" s="16"/>
      <c r="R400" s="16"/>
      <c r="S400" s="16"/>
      <c r="T400" s="16"/>
      <c r="U400" s="16"/>
      <c r="V400" s="16"/>
      <c r="W400" s="16"/>
      <c r="X400" s="16"/>
      <c r="Y400" s="16"/>
      <c r="Z400" s="16"/>
      <c r="AA400" s="16"/>
      <c r="AB400" s="16"/>
      <c r="AC400" s="16"/>
      <c r="AD400" s="16"/>
    </row>
    <row r="401" spans="2:30" ht="15.75" customHeight="1">
      <c r="B401" s="14"/>
      <c r="C401" s="14"/>
      <c r="D401" s="14"/>
      <c r="E401" s="14"/>
      <c r="F401" s="14"/>
      <c r="G401" s="14"/>
      <c r="H401" s="14"/>
      <c r="I401" s="14"/>
      <c r="J401" s="14"/>
      <c r="K401" s="14"/>
      <c r="L401" s="14"/>
      <c r="M401" s="14"/>
      <c r="N401" s="14"/>
      <c r="O401" s="16"/>
      <c r="P401" s="16"/>
      <c r="Q401" s="16"/>
      <c r="R401" s="16"/>
      <c r="S401" s="16"/>
      <c r="T401" s="16"/>
      <c r="U401" s="16"/>
      <c r="V401" s="16"/>
      <c r="W401" s="16"/>
      <c r="X401" s="16"/>
      <c r="Y401" s="16"/>
      <c r="Z401" s="16"/>
      <c r="AA401" s="16"/>
      <c r="AB401" s="16"/>
      <c r="AC401" s="16"/>
      <c r="AD401" s="16"/>
    </row>
    <row r="402" spans="2:30" ht="15.75" customHeight="1">
      <c r="B402" s="14"/>
      <c r="C402" s="14"/>
      <c r="D402" s="14"/>
      <c r="E402" s="14"/>
      <c r="F402" s="14"/>
      <c r="G402" s="14"/>
      <c r="H402" s="14"/>
      <c r="I402" s="14"/>
      <c r="J402" s="14"/>
      <c r="K402" s="14"/>
      <c r="L402" s="14"/>
      <c r="M402" s="14"/>
      <c r="N402" s="14"/>
      <c r="O402" s="16"/>
      <c r="P402" s="16"/>
      <c r="Q402" s="16"/>
      <c r="R402" s="16"/>
      <c r="S402" s="16"/>
      <c r="T402" s="16"/>
      <c r="U402" s="16"/>
      <c r="V402" s="16"/>
      <c r="W402" s="16"/>
      <c r="X402" s="16"/>
      <c r="Y402" s="16"/>
      <c r="Z402" s="16"/>
      <c r="AA402" s="16"/>
      <c r="AB402" s="16"/>
      <c r="AC402" s="16"/>
      <c r="AD402" s="16"/>
    </row>
    <row r="403" spans="2:30" ht="15.75" customHeight="1">
      <c r="B403" s="14"/>
      <c r="C403" s="14"/>
      <c r="D403" s="14"/>
      <c r="E403" s="14"/>
      <c r="F403" s="14"/>
      <c r="G403" s="14"/>
      <c r="H403" s="14"/>
      <c r="I403" s="14"/>
      <c r="J403" s="14"/>
      <c r="K403" s="14"/>
      <c r="L403" s="14"/>
      <c r="M403" s="14"/>
      <c r="N403" s="14"/>
      <c r="O403" s="16"/>
      <c r="P403" s="16"/>
      <c r="Q403" s="16"/>
      <c r="R403" s="16"/>
      <c r="S403" s="16"/>
      <c r="T403" s="16"/>
      <c r="U403" s="16"/>
      <c r="V403" s="16"/>
      <c r="W403" s="16"/>
      <c r="X403" s="16"/>
      <c r="Y403" s="16"/>
      <c r="Z403" s="16"/>
      <c r="AA403" s="16"/>
      <c r="AB403" s="16"/>
      <c r="AC403" s="16"/>
      <c r="AD403" s="16"/>
    </row>
    <row r="404" spans="2:30" ht="15.75" customHeight="1">
      <c r="B404" s="14"/>
      <c r="C404" s="14"/>
      <c r="D404" s="14"/>
      <c r="E404" s="14"/>
      <c r="F404" s="14"/>
      <c r="G404" s="14"/>
      <c r="H404" s="14"/>
      <c r="I404" s="14"/>
      <c r="J404" s="14"/>
      <c r="K404" s="14"/>
      <c r="L404" s="14"/>
      <c r="M404" s="14"/>
      <c r="N404" s="14"/>
      <c r="O404" s="16"/>
      <c r="P404" s="16"/>
      <c r="Q404" s="16"/>
      <c r="R404" s="16"/>
      <c r="S404" s="16"/>
      <c r="T404" s="16"/>
      <c r="U404" s="16"/>
      <c r="V404" s="16"/>
      <c r="W404" s="16"/>
      <c r="X404" s="16"/>
      <c r="Y404" s="16"/>
      <c r="Z404" s="16"/>
      <c r="AA404" s="16"/>
      <c r="AB404" s="16"/>
      <c r="AC404" s="16"/>
      <c r="AD404" s="16"/>
    </row>
    <row r="405" spans="2:30" ht="15.75" customHeight="1">
      <c r="B405" s="14"/>
      <c r="C405" s="14"/>
      <c r="D405" s="14"/>
      <c r="E405" s="14"/>
      <c r="F405" s="14"/>
      <c r="G405" s="14"/>
      <c r="H405" s="14"/>
      <c r="I405" s="14"/>
      <c r="J405" s="14"/>
      <c r="K405" s="14"/>
      <c r="L405" s="14"/>
      <c r="M405" s="14"/>
      <c r="N405" s="14"/>
      <c r="O405" s="16"/>
      <c r="P405" s="16"/>
      <c r="Q405" s="16"/>
      <c r="R405" s="16"/>
      <c r="S405" s="16"/>
      <c r="T405" s="16"/>
      <c r="U405" s="16"/>
      <c r="V405" s="16"/>
      <c r="W405" s="16"/>
      <c r="X405" s="16"/>
      <c r="Y405" s="16"/>
      <c r="Z405" s="16"/>
      <c r="AA405" s="16"/>
      <c r="AB405" s="16"/>
      <c r="AC405" s="16"/>
      <c r="AD405" s="16"/>
    </row>
    <row r="406" spans="2:30" ht="15.75" customHeight="1">
      <c r="B406" s="14"/>
      <c r="C406" s="14"/>
      <c r="D406" s="14"/>
      <c r="E406" s="14"/>
      <c r="F406" s="14"/>
      <c r="G406" s="14"/>
      <c r="H406" s="14"/>
      <c r="I406" s="14"/>
      <c r="J406" s="14"/>
      <c r="K406" s="14"/>
      <c r="L406" s="14"/>
      <c r="M406" s="14"/>
      <c r="N406" s="14"/>
      <c r="O406" s="16"/>
      <c r="P406" s="16"/>
      <c r="Q406" s="16"/>
      <c r="R406" s="16"/>
      <c r="S406" s="16"/>
      <c r="T406" s="16"/>
      <c r="U406" s="16"/>
      <c r="V406" s="16"/>
      <c r="W406" s="16"/>
      <c r="X406" s="16"/>
      <c r="Y406" s="16"/>
      <c r="Z406" s="16"/>
      <c r="AA406" s="16"/>
      <c r="AB406" s="16"/>
      <c r="AC406" s="16"/>
      <c r="AD406" s="16"/>
    </row>
    <row r="407" spans="2:30" ht="15.75" customHeight="1">
      <c r="B407" s="14"/>
      <c r="C407" s="14"/>
      <c r="D407" s="14"/>
      <c r="E407" s="14"/>
      <c r="F407" s="14"/>
      <c r="G407" s="14"/>
      <c r="H407" s="14"/>
      <c r="I407" s="14"/>
      <c r="J407" s="14"/>
      <c r="K407" s="14"/>
      <c r="L407" s="14"/>
      <c r="M407" s="14"/>
      <c r="N407" s="14"/>
      <c r="O407" s="16"/>
      <c r="P407" s="16"/>
      <c r="Q407" s="16"/>
      <c r="R407" s="16"/>
      <c r="S407" s="16"/>
      <c r="T407" s="16"/>
      <c r="U407" s="16"/>
      <c r="V407" s="16"/>
      <c r="W407" s="16"/>
      <c r="X407" s="16"/>
      <c r="Y407" s="16"/>
      <c r="Z407" s="16"/>
      <c r="AA407" s="16"/>
      <c r="AB407" s="16"/>
      <c r="AC407" s="16"/>
      <c r="AD407" s="16"/>
    </row>
    <row r="408" spans="2:30" ht="15.75" customHeight="1">
      <c r="B408" s="14"/>
      <c r="C408" s="14"/>
      <c r="D408" s="14"/>
      <c r="E408" s="14"/>
      <c r="F408" s="14"/>
      <c r="G408" s="14"/>
      <c r="H408" s="14"/>
      <c r="I408" s="14"/>
      <c r="J408" s="14"/>
      <c r="K408" s="14"/>
      <c r="L408" s="14"/>
      <c r="M408" s="14"/>
      <c r="N408" s="14"/>
      <c r="O408" s="16"/>
      <c r="P408" s="16"/>
      <c r="Q408" s="16"/>
      <c r="R408" s="16"/>
      <c r="S408" s="16"/>
      <c r="T408" s="16"/>
      <c r="U408" s="16"/>
      <c r="V408" s="16"/>
      <c r="W408" s="16"/>
      <c r="X408" s="16"/>
      <c r="Y408" s="16"/>
      <c r="Z408" s="16"/>
      <c r="AA408" s="16"/>
      <c r="AB408" s="16"/>
      <c r="AC408" s="16"/>
      <c r="AD408" s="16"/>
    </row>
    <row r="409" spans="2:30" ht="15.75" customHeight="1">
      <c r="B409" s="14"/>
      <c r="C409" s="14"/>
      <c r="D409" s="14"/>
      <c r="E409" s="14"/>
      <c r="F409" s="14"/>
      <c r="G409" s="14"/>
      <c r="H409" s="14"/>
      <c r="I409" s="14"/>
      <c r="J409" s="14"/>
      <c r="K409" s="14"/>
      <c r="L409" s="14"/>
      <c r="M409" s="14"/>
      <c r="N409" s="14"/>
      <c r="O409" s="16"/>
      <c r="P409" s="16"/>
      <c r="Q409" s="16"/>
      <c r="R409" s="16"/>
      <c r="S409" s="16"/>
      <c r="T409" s="16"/>
      <c r="U409" s="16"/>
      <c r="V409" s="16"/>
      <c r="W409" s="16"/>
      <c r="X409" s="16"/>
      <c r="Y409" s="16"/>
      <c r="Z409" s="16"/>
      <c r="AA409" s="16"/>
      <c r="AB409" s="16"/>
      <c r="AC409" s="16"/>
      <c r="AD409" s="16"/>
    </row>
    <row r="410" spans="2:30" ht="15.75" customHeight="1">
      <c r="B410" s="14"/>
      <c r="C410" s="14"/>
      <c r="D410" s="14"/>
      <c r="E410" s="14"/>
      <c r="F410" s="14"/>
      <c r="G410" s="14"/>
      <c r="H410" s="14"/>
      <c r="I410" s="14"/>
      <c r="J410" s="14"/>
      <c r="K410" s="14"/>
      <c r="L410" s="14"/>
      <c r="M410" s="14"/>
      <c r="N410" s="14"/>
      <c r="O410" s="16"/>
      <c r="P410" s="16"/>
      <c r="Q410" s="16"/>
      <c r="R410" s="16"/>
      <c r="S410" s="16"/>
      <c r="T410" s="16"/>
      <c r="U410" s="16"/>
      <c r="V410" s="16"/>
      <c r="W410" s="16"/>
      <c r="X410" s="16"/>
      <c r="Y410" s="16"/>
      <c r="Z410" s="16"/>
      <c r="AA410" s="16"/>
      <c r="AB410" s="16"/>
      <c r="AC410" s="16"/>
      <c r="AD410" s="16"/>
    </row>
    <row r="411" spans="2:30" ht="15.75" customHeight="1">
      <c r="B411" s="14"/>
      <c r="C411" s="14"/>
      <c r="D411" s="14"/>
      <c r="E411" s="14"/>
      <c r="F411" s="14"/>
      <c r="G411" s="14"/>
      <c r="H411" s="14"/>
      <c r="I411" s="14"/>
      <c r="J411" s="14"/>
      <c r="K411" s="14"/>
      <c r="L411" s="14"/>
      <c r="M411" s="14"/>
      <c r="N411" s="14"/>
      <c r="O411" s="16"/>
      <c r="P411" s="16"/>
      <c r="Q411" s="16"/>
      <c r="R411" s="16"/>
      <c r="S411" s="16"/>
      <c r="T411" s="16"/>
      <c r="U411" s="16"/>
      <c r="V411" s="16"/>
      <c r="W411" s="16"/>
      <c r="X411" s="16"/>
      <c r="Y411" s="16"/>
      <c r="Z411" s="16"/>
      <c r="AA411" s="16"/>
      <c r="AB411" s="16"/>
      <c r="AC411" s="16"/>
      <c r="AD411" s="16"/>
    </row>
    <row r="412" spans="2:30" ht="15.75" customHeight="1">
      <c r="B412" s="14"/>
      <c r="C412" s="14"/>
      <c r="D412" s="14"/>
      <c r="E412" s="14"/>
      <c r="F412" s="14"/>
      <c r="G412" s="14"/>
      <c r="H412" s="14"/>
      <c r="I412" s="14"/>
      <c r="J412" s="14"/>
      <c r="K412" s="14"/>
      <c r="L412" s="14"/>
      <c r="M412" s="14"/>
      <c r="N412" s="14"/>
      <c r="O412" s="16"/>
      <c r="P412" s="16"/>
      <c r="Q412" s="16"/>
      <c r="R412" s="16"/>
      <c r="S412" s="16"/>
      <c r="T412" s="16"/>
      <c r="U412" s="16"/>
      <c r="V412" s="16"/>
      <c r="W412" s="16"/>
      <c r="X412" s="16"/>
      <c r="Y412" s="16"/>
      <c r="Z412" s="16"/>
      <c r="AA412" s="16"/>
      <c r="AB412" s="16"/>
      <c r="AC412" s="16"/>
      <c r="AD412" s="16"/>
    </row>
    <row r="413" spans="2:30" ht="15.75" customHeight="1">
      <c r="B413" s="14"/>
      <c r="C413" s="14"/>
      <c r="D413" s="14"/>
      <c r="E413" s="14"/>
      <c r="F413" s="14"/>
      <c r="G413" s="14"/>
      <c r="H413" s="14"/>
      <c r="I413" s="14"/>
      <c r="J413" s="14"/>
      <c r="K413" s="14"/>
      <c r="L413" s="14"/>
      <c r="M413" s="14"/>
      <c r="N413" s="14"/>
      <c r="O413" s="16"/>
      <c r="P413" s="16"/>
      <c r="Q413" s="16"/>
      <c r="R413" s="16"/>
      <c r="S413" s="16"/>
      <c r="T413" s="16"/>
      <c r="U413" s="16"/>
      <c r="V413" s="16"/>
      <c r="W413" s="16"/>
      <c r="X413" s="16"/>
      <c r="Y413" s="16"/>
      <c r="Z413" s="16"/>
      <c r="AA413" s="16"/>
      <c r="AB413" s="16"/>
      <c r="AC413" s="16"/>
      <c r="AD413" s="16"/>
    </row>
    <row r="414" spans="2:30" ht="15.75" customHeight="1">
      <c r="B414" s="14"/>
      <c r="C414" s="14"/>
      <c r="D414" s="14"/>
      <c r="E414" s="14"/>
      <c r="F414" s="14"/>
      <c r="G414" s="14"/>
      <c r="H414" s="14"/>
      <c r="I414" s="14"/>
      <c r="J414" s="14"/>
      <c r="K414" s="14"/>
      <c r="L414" s="14"/>
      <c r="M414" s="14"/>
      <c r="N414" s="14"/>
      <c r="O414" s="16"/>
      <c r="P414" s="16"/>
      <c r="Q414" s="16"/>
      <c r="R414" s="16"/>
      <c r="S414" s="16"/>
      <c r="T414" s="16"/>
      <c r="U414" s="16"/>
      <c r="V414" s="16"/>
      <c r="W414" s="16"/>
      <c r="X414" s="16"/>
      <c r="Y414" s="16"/>
      <c r="Z414" s="16"/>
      <c r="AA414" s="16"/>
      <c r="AB414" s="16"/>
      <c r="AC414" s="16"/>
      <c r="AD414" s="16"/>
    </row>
    <row r="415" spans="2:30" ht="15.75" customHeight="1">
      <c r="B415" s="14"/>
      <c r="C415" s="14"/>
      <c r="D415" s="14"/>
      <c r="E415" s="14"/>
      <c r="F415" s="14"/>
      <c r="G415" s="14"/>
      <c r="H415" s="14"/>
      <c r="I415" s="14"/>
      <c r="J415" s="14"/>
      <c r="K415" s="14"/>
      <c r="L415" s="14"/>
      <c r="M415" s="14"/>
      <c r="N415" s="14"/>
      <c r="O415" s="16"/>
      <c r="P415" s="16"/>
      <c r="Q415" s="16"/>
      <c r="R415" s="16"/>
      <c r="S415" s="16"/>
      <c r="T415" s="16"/>
      <c r="U415" s="16"/>
      <c r="V415" s="16"/>
      <c r="W415" s="16"/>
      <c r="X415" s="16"/>
      <c r="Y415" s="16"/>
      <c r="Z415" s="16"/>
      <c r="AA415" s="16"/>
      <c r="AB415" s="16"/>
      <c r="AC415" s="16"/>
      <c r="AD415" s="16"/>
    </row>
    <row r="416" spans="2:30" ht="15.75" customHeight="1">
      <c r="B416" s="14"/>
      <c r="C416" s="14"/>
      <c r="D416" s="14"/>
      <c r="E416" s="14"/>
      <c r="F416" s="14"/>
      <c r="G416" s="14"/>
      <c r="H416" s="14"/>
      <c r="I416" s="14"/>
      <c r="J416" s="14"/>
      <c r="K416" s="14"/>
      <c r="L416" s="14"/>
      <c r="M416" s="14"/>
      <c r="N416" s="14"/>
      <c r="O416" s="16"/>
      <c r="P416" s="16"/>
      <c r="Q416" s="16"/>
      <c r="R416" s="16"/>
      <c r="S416" s="16"/>
      <c r="T416" s="16"/>
      <c r="U416" s="16"/>
      <c r="V416" s="16"/>
      <c r="W416" s="16"/>
      <c r="X416" s="16"/>
      <c r="Y416" s="16"/>
      <c r="Z416" s="16"/>
      <c r="AA416" s="16"/>
      <c r="AB416" s="16"/>
      <c r="AC416" s="16"/>
      <c r="AD416" s="16"/>
    </row>
    <row r="417" spans="2:30" ht="15.75" customHeight="1">
      <c r="B417" s="14"/>
      <c r="C417" s="14"/>
      <c r="D417" s="14"/>
      <c r="E417" s="14"/>
      <c r="F417" s="14"/>
      <c r="G417" s="14"/>
      <c r="H417" s="14"/>
      <c r="I417" s="14"/>
      <c r="J417" s="14"/>
      <c r="K417" s="14"/>
      <c r="L417" s="14"/>
      <c r="M417" s="14"/>
      <c r="N417" s="14"/>
      <c r="O417" s="16"/>
      <c r="P417" s="16"/>
      <c r="Q417" s="16"/>
      <c r="R417" s="16"/>
      <c r="S417" s="16"/>
      <c r="T417" s="16"/>
      <c r="U417" s="16"/>
      <c r="V417" s="16"/>
      <c r="W417" s="16"/>
      <c r="X417" s="16"/>
      <c r="Y417" s="16"/>
      <c r="Z417" s="16"/>
      <c r="AA417" s="16"/>
      <c r="AB417" s="16"/>
      <c r="AC417" s="16"/>
      <c r="AD417" s="16"/>
    </row>
    <row r="418" spans="2:30" ht="15.75" customHeight="1">
      <c r="B418" s="14"/>
      <c r="C418" s="14"/>
      <c r="D418" s="14"/>
      <c r="E418" s="14"/>
      <c r="F418" s="14"/>
      <c r="G418" s="14"/>
      <c r="H418" s="14"/>
      <c r="I418" s="14"/>
      <c r="J418" s="14"/>
      <c r="K418" s="14"/>
      <c r="L418" s="14"/>
      <c r="M418" s="14"/>
      <c r="N418" s="14"/>
      <c r="O418" s="16"/>
      <c r="P418" s="16"/>
      <c r="Q418" s="16"/>
      <c r="R418" s="16"/>
      <c r="S418" s="16"/>
      <c r="T418" s="16"/>
      <c r="U418" s="16"/>
      <c r="V418" s="16"/>
      <c r="W418" s="16"/>
      <c r="X418" s="16"/>
      <c r="Y418" s="16"/>
      <c r="Z418" s="16"/>
      <c r="AA418" s="16"/>
      <c r="AB418" s="16"/>
      <c r="AC418" s="16"/>
      <c r="AD418" s="16"/>
    </row>
    <row r="419" spans="2:30" ht="15.75" customHeight="1">
      <c r="B419" s="14"/>
      <c r="C419" s="14"/>
      <c r="D419" s="14"/>
      <c r="E419" s="14"/>
      <c r="F419" s="14"/>
      <c r="G419" s="14"/>
      <c r="H419" s="14"/>
      <c r="I419" s="14"/>
      <c r="J419" s="14"/>
      <c r="K419" s="14"/>
      <c r="L419" s="14"/>
      <c r="M419" s="14"/>
      <c r="N419" s="14"/>
      <c r="O419" s="16"/>
      <c r="P419" s="16"/>
      <c r="Q419" s="16"/>
      <c r="R419" s="16"/>
      <c r="S419" s="16"/>
      <c r="T419" s="16"/>
      <c r="U419" s="16"/>
      <c r="V419" s="16"/>
      <c r="W419" s="16"/>
      <c r="X419" s="16"/>
      <c r="Y419" s="16"/>
      <c r="Z419" s="16"/>
      <c r="AA419" s="16"/>
      <c r="AB419" s="16"/>
      <c r="AC419" s="16"/>
      <c r="AD419" s="16"/>
    </row>
    <row r="420" spans="2:30" ht="15.75" customHeight="1">
      <c r="B420" s="14"/>
      <c r="C420" s="14"/>
      <c r="D420" s="14"/>
      <c r="E420" s="14"/>
      <c r="F420" s="14"/>
      <c r="G420" s="14"/>
      <c r="H420" s="14"/>
      <c r="I420" s="14"/>
      <c r="J420" s="14"/>
      <c r="K420" s="14"/>
      <c r="L420" s="14"/>
      <c r="M420" s="14"/>
      <c r="N420" s="14"/>
      <c r="O420" s="16"/>
      <c r="P420" s="16"/>
      <c r="Q420" s="16"/>
      <c r="R420" s="16"/>
      <c r="S420" s="16"/>
      <c r="T420" s="16"/>
      <c r="U420" s="16"/>
      <c r="V420" s="16"/>
      <c r="W420" s="16"/>
      <c r="X420" s="16"/>
      <c r="Y420" s="16"/>
      <c r="Z420" s="16"/>
      <c r="AA420" s="16"/>
      <c r="AB420" s="16"/>
      <c r="AC420" s="16"/>
      <c r="AD420" s="16"/>
    </row>
    <row r="421" spans="2:30" ht="15.75" customHeight="1">
      <c r="B421" s="14"/>
      <c r="C421" s="14"/>
      <c r="D421" s="14"/>
      <c r="E421" s="14"/>
      <c r="F421" s="14"/>
      <c r="G421" s="14"/>
      <c r="H421" s="14"/>
      <c r="I421" s="14"/>
      <c r="J421" s="14"/>
      <c r="K421" s="14"/>
      <c r="L421" s="14"/>
      <c r="M421" s="14"/>
      <c r="N421" s="14"/>
      <c r="O421" s="16"/>
      <c r="P421" s="16"/>
      <c r="Q421" s="16"/>
      <c r="R421" s="16"/>
      <c r="S421" s="16"/>
      <c r="T421" s="16"/>
      <c r="U421" s="16"/>
      <c r="V421" s="16"/>
      <c r="W421" s="16"/>
      <c r="X421" s="16"/>
      <c r="Y421" s="16"/>
      <c r="Z421" s="16"/>
      <c r="AA421" s="16"/>
      <c r="AB421" s="16"/>
      <c r="AC421" s="16"/>
      <c r="AD421" s="16"/>
    </row>
    <row r="422" spans="2:30" ht="15.75" customHeight="1">
      <c r="B422" s="14"/>
      <c r="C422" s="14"/>
      <c r="D422" s="14"/>
      <c r="E422" s="14"/>
      <c r="F422" s="14"/>
      <c r="G422" s="14"/>
      <c r="H422" s="14"/>
      <c r="I422" s="14"/>
      <c r="J422" s="14"/>
      <c r="K422" s="14"/>
      <c r="L422" s="14"/>
      <c r="M422" s="14"/>
      <c r="N422" s="14"/>
      <c r="O422" s="16"/>
      <c r="P422" s="16"/>
      <c r="Q422" s="16"/>
      <c r="R422" s="16"/>
      <c r="S422" s="16"/>
      <c r="T422" s="16"/>
      <c r="U422" s="16"/>
      <c r="V422" s="16"/>
      <c r="W422" s="16"/>
      <c r="X422" s="16"/>
      <c r="Y422" s="16"/>
      <c r="Z422" s="16"/>
      <c r="AA422" s="16"/>
      <c r="AB422" s="16"/>
      <c r="AC422" s="16"/>
      <c r="AD422" s="16"/>
    </row>
    <row r="423" spans="2:30" ht="15.75" customHeight="1">
      <c r="B423" s="14"/>
      <c r="C423" s="14"/>
      <c r="D423" s="14"/>
      <c r="E423" s="14"/>
      <c r="F423" s="14"/>
      <c r="G423" s="14"/>
      <c r="H423" s="14"/>
      <c r="I423" s="14"/>
      <c r="J423" s="14"/>
      <c r="K423" s="14"/>
      <c r="L423" s="14"/>
      <c r="M423" s="14"/>
      <c r="N423" s="14"/>
      <c r="O423" s="16"/>
      <c r="P423" s="16"/>
      <c r="Q423" s="16"/>
      <c r="R423" s="16"/>
      <c r="S423" s="16"/>
      <c r="T423" s="16"/>
      <c r="U423" s="16"/>
      <c r="V423" s="16"/>
      <c r="W423" s="16"/>
      <c r="X423" s="16"/>
      <c r="Y423" s="16"/>
      <c r="Z423" s="16"/>
      <c r="AA423" s="16"/>
      <c r="AB423" s="16"/>
      <c r="AC423" s="16"/>
      <c r="AD423" s="16"/>
    </row>
    <row r="424" spans="2:30" ht="15.75" customHeight="1">
      <c r="B424" s="14"/>
      <c r="C424" s="14"/>
      <c r="D424" s="14"/>
      <c r="E424" s="14"/>
      <c r="F424" s="14"/>
      <c r="G424" s="14"/>
      <c r="H424" s="14"/>
      <c r="I424" s="14"/>
      <c r="J424" s="14"/>
      <c r="K424" s="14"/>
      <c r="L424" s="14"/>
      <c r="M424" s="14"/>
      <c r="N424" s="14"/>
      <c r="O424" s="16"/>
      <c r="P424" s="16"/>
      <c r="Q424" s="16"/>
      <c r="R424" s="16"/>
      <c r="S424" s="16"/>
      <c r="T424" s="16"/>
      <c r="U424" s="16"/>
      <c r="V424" s="16"/>
      <c r="W424" s="16"/>
      <c r="X424" s="16"/>
      <c r="Y424" s="16"/>
      <c r="Z424" s="16"/>
      <c r="AA424" s="16"/>
      <c r="AB424" s="16"/>
      <c r="AC424" s="16"/>
      <c r="AD424" s="16"/>
    </row>
    <row r="425" spans="2:30" ht="15.75" customHeight="1">
      <c r="B425" s="14"/>
      <c r="C425" s="14"/>
      <c r="D425" s="14"/>
      <c r="E425" s="14"/>
      <c r="F425" s="14"/>
      <c r="G425" s="14"/>
      <c r="H425" s="14"/>
      <c r="I425" s="14"/>
      <c r="J425" s="14"/>
      <c r="K425" s="14"/>
      <c r="L425" s="14"/>
      <c r="M425" s="14"/>
      <c r="N425" s="14"/>
      <c r="O425" s="16"/>
      <c r="P425" s="16"/>
      <c r="Q425" s="16"/>
      <c r="R425" s="16"/>
      <c r="S425" s="16"/>
      <c r="T425" s="16"/>
      <c r="U425" s="16"/>
      <c r="V425" s="16"/>
      <c r="W425" s="16"/>
      <c r="X425" s="16"/>
      <c r="Y425" s="16"/>
      <c r="Z425" s="16"/>
      <c r="AA425" s="16"/>
      <c r="AB425" s="16"/>
      <c r="AC425" s="16"/>
      <c r="AD425" s="16"/>
    </row>
    <row r="426" spans="2:30" ht="15.75" customHeight="1">
      <c r="B426" s="14"/>
      <c r="C426" s="14"/>
      <c r="D426" s="14"/>
      <c r="E426" s="14"/>
      <c r="F426" s="14"/>
      <c r="G426" s="14"/>
      <c r="H426" s="14"/>
      <c r="I426" s="14"/>
      <c r="J426" s="14"/>
      <c r="K426" s="14"/>
      <c r="L426" s="14"/>
      <c r="M426" s="14"/>
      <c r="N426" s="14"/>
      <c r="O426" s="16"/>
      <c r="P426" s="16"/>
      <c r="Q426" s="16"/>
      <c r="R426" s="16"/>
      <c r="S426" s="16"/>
      <c r="T426" s="16"/>
      <c r="U426" s="16"/>
      <c r="V426" s="16"/>
      <c r="W426" s="16"/>
      <c r="X426" s="16"/>
      <c r="Y426" s="16"/>
      <c r="Z426" s="16"/>
      <c r="AA426" s="16"/>
      <c r="AB426" s="16"/>
      <c r="AC426" s="16"/>
      <c r="AD426" s="16"/>
    </row>
    <row r="427" spans="2:30" ht="15.75" customHeight="1">
      <c r="B427" s="14"/>
      <c r="C427" s="14"/>
      <c r="D427" s="14"/>
      <c r="E427" s="14"/>
      <c r="F427" s="14"/>
      <c r="G427" s="14"/>
      <c r="H427" s="14"/>
      <c r="I427" s="14"/>
      <c r="J427" s="14"/>
      <c r="K427" s="14"/>
      <c r="L427" s="14"/>
      <c r="M427" s="14"/>
      <c r="N427" s="14"/>
      <c r="O427" s="16"/>
      <c r="P427" s="16"/>
      <c r="Q427" s="16"/>
      <c r="R427" s="16"/>
      <c r="S427" s="16"/>
      <c r="T427" s="16"/>
      <c r="U427" s="16"/>
      <c r="V427" s="16"/>
      <c r="W427" s="16"/>
      <c r="X427" s="16"/>
      <c r="Y427" s="16"/>
      <c r="Z427" s="16"/>
      <c r="AA427" s="16"/>
      <c r="AB427" s="16"/>
      <c r="AC427" s="16"/>
      <c r="AD427" s="16"/>
    </row>
    <row r="428" spans="2:30" ht="15.75" customHeight="1">
      <c r="B428" s="14"/>
      <c r="C428" s="14"/>
      <c r="D428" s="14"/>
      <c r="E428" s="14"/>
      <c r="F428" s="14"/>
      <c r="G428" s="14"/>
      <c r="H428" s="14"/>
      <c r="I428" s="14"/>
      <c r="J428" s="14"/>
      <c r="K428" s="14"/>
      <c r="L428" s="14"/>
      <c r="M428" s="14"/>
      <c r="N428" s="14"/>
      <c r="O428" s="16"/>
      <c r="P428" s="16"/>
      <c r="Q428" s="16"/>
      <c r="R428" s="16"/>
      <c r="S428" s="16"/>
      <c r="T428" s="16"/>
      <c r="U428" s="16"/>
      <c r="V428" s="16"/>
      <c r="W428" s="16"/>
      <c r="X428" s="16"/>
      <c r="Y428" s="16"/>
      <c r="Z428" s="16"/>
      <c r="AA428" s="16"/>
      <c r="AB428" s="16"/>
      <c r="AC428" s="16"/>
      <c r="AD428" s="16"/>
    </row>
    <row r="429" spans="2:30" ht="15.75" customHeight="1">
      <c r="B429" s="14"/>
      <c r="C429" s="14"/>
      <c r="D429" s="14"/>
      <c r="E429" s="14"/>
      <c r="F429" s="14"/>
      <c r="G429" s="14"/>
      <c r="H429" s="14"/>
      <c r="I429" s="14"/>
      <c r="J429" s="14"/>
      <c r="K429" s="14"/>
      <c r="L429" s="14"/>
      <c r="M429" s="14"/>
      <c r="N429" s="14"/>
      <c r="O429" s="16"/>
      <c r="P429" s="16"/>
      <c r="Q429" s="16"/>
      <c r="R429" s="16"/>
      <c r="S429" s="16"/>
      <c r="T429" s="16"/>
      <c r="U429" s="16"/>
      <c r="V429" s="16"/>
      <c r="W429" s="16"/>
      <c r="X429" s="16"/>
      <c r="Y429" s="16"/>
      <c r="Z429" s="16"/>
      <c r="AA429" s="16"/>
      <c r="AB429" s="16"/>
      <c r="AC429" s="16"/>
      <c r="AD429" s="16"/>
    </row>
    <row r="430" spans="2:30" ht="15.75" customHeight="1">
      <c r="B430" s="14"/>
      <c r="C430" s="14"/>
      <c r="D430" s="14"/>
      <c r="E430" s="14"/>
      <c r="F430" s="14"/>
      <c r="G430" s="14"/>
      <c r="H430" s="14"/>
      <c r="I430" s="14"/>
      <c r="J430" s="14"/>
      <c r="K430" s="14"/>
      <c r="L430" s="14"/>
      <c r="M430" s="14"/>
      <c r="N430" s="14"/>
      <c r="O430" s="16"/>
      <c r="P430" s="16"/>
      <c r="Q430" s="16"/>
      <c r="R430" s="16"/>
      <c r="S430" s="16"/>
      <c r="T430" s="16"/>
      <c r="U430" s="16"/>
      <c r="V430" s="16"/>
      <c r="W430" s="16"/>
      <c r="X430" s="16"/>
      <c r="Y430" s="16"/>
      <c r="Z430" s="16"/>
      <c r="AA430" s="16"/>
      <c r="AB430" s="16"/>
      <c r="AC430" s="16"/>
      <c r="AD430" s="16"/>
    </row>
    <row r="431" spans="2:30" ht="15.75" customHeight="1">
      <c r="B431" s="14"/>
      <c r="C431" s="14"/>
      <c r="D431" s="14"/>
      <c r="E431" s="14"/>
      <c r="F431" s="14"/>
      <c r="G431" s="14"/>
      <c r="H431" s="14"/>
      <c r="I431" s="14"/>
      <c r="J431" s="14"/>
      <c r="K431" s="14"/>
      <c r="L431" s="14"/>
      <c r="M431" s="14"/>
      <c r="N431" s="14"/>
      <c r="O431" s="16"/>
      <c r="P431" s="16"/>
      <c r="Q431" s="16"/>
      <c r="R431" s="16"/>
      <c r="S431" s="16"/>
      <c r="T431" s="16"/>
      <c r="U431" s="16"/>
      <c r="V431" s="16"/>
      <c r="W431" s="16"/>
      <c r="X431" s="16"/>
      <c r="Y431" s="16"/>
      <c r="Z431" s="16"/>
      <c r="AA431" s="16"/>
      <c r="AB431" s="16"/>
      <c r="AC431" s="16"/>
      <c r="AD431" s="16"/>
    </row>
    <row r="432" spans="2:30" ht="15.75" customHeight="1">
      <c r="B432" s="14"/>
      <c r="C432" s="14"/>
      <c r="D432" s="14"/>
      <c r="E432" s="14"/>
      <c r="F432" s="14"/>
      <c r="G432" s="14"/>
      <c r="H432" s="14"/>
      <c r="I432" s="14"/>
      <c r="J432" s="14"/>
      <c r="K432" s="14"/>
      <c r="L432" s="14"/>
      <c r="M432" s="14"/>
      <c r="N432" s="14"/>
      <c r="O432" s="16"/>
      <c r="P432" s="16"/>
      <c r="Q432" s="16"/>
      <c r="R432" s="16"/>
      <c r="S432" s="16"/>
      <c r="T432" s="16"/>
      <c r="U432" s="16"/>
      <c r="V432" s="16"/>
      <c r="W432" s="16"/>
      <c r="X432" s="16"/>
      <c r="Y432" s="16"/>
      <c r="Z432" s="16"/>
      <c r="AA432" s="16"/>
      <c r="AB432" s="16"/>
      <c r="AC432" s="16"/>
      <c r="AD432" s="16"/>
    </row>
    <row r="433" spans="2:30" ht="15.75" customHeight="1">
      <c r="B433" s="14"/>
      <c r="C433" s="14"/>
      <c r="D433" s="14"/>
      <c r="E433" s="14"/>
      <c r="F433" s="14"/>
      <c r="G433" s="14"/>
      <c r="H433" s="14"/>
      <c r="I433" s="14"/>
      <c r="J433" s="14"/>
      <c r="K433" s="14"/>
      <c r="L433" s="14"/>
      <c r="M433" s="14"/>
      <c r="N433" s="14"/>
      <c r="O433" s="16"/>
      <c r="P433" s="16"/>
      <c r="Q433" s="16"/>
      <c r="R433" s="16"/>
      <c r="S433" s="16"/>
      <c r="T433" s="16"/>
      <c r="U433" s="16"/>
      <c r="V433" s="16"/>
      <c r="W433" s="16"/>
      <c r="X433" s="16"/>
      <c r="Y433" s="16"/>
      <c r="Z433" s="16"/>
      <c r="AA433" s="16"/>
      <c r="AB433" s="16"/>
      <c r="AC433" s="16"/>
      <c r="AD433" s="16"/>
    </row>
    <row r="434" spans="2:30" ht="15.75" customHeight="1">
      <c r="B434" s="14"/>
      <c r="C434" s="14"/>
      <c r="D434" s="14"/>
      <c r="E434" s="14"/>
      <c r="F434" s="14"/>
      <c r="G434" s="14"/>
      <c r="H434" s="14"/>
      <c r="I434" s="14"/>
      <c r="J434" s="14"/>
      <c r="K434" s="14"/>
      <c r="L434" s="14"/>
      <c r="M434" s="14"/>
      <c r="N434" s="14"/>
      <c r="O434" s="16"/>
      <c r="P434" s="16"/>
      <c r="Q434" s="16"/>
      <c r="R434" s="16"/>
      <c r="S434" s="16"/>
      <c r="T434" s="16"/>
      <c r="U434" s="16"/>
      <c r="V434" s="16"/>
      <c r="W434" s="16"/>
      <c r="X434" s="16"/>
      <c r="Y434" s="16"/>
      <c r="Z434" s="16"/>
      <c r="AA434" s="16"/>
      <c r="AB434" s="16"/>
      <c r="AC434" s="16"/>
      <c r="AD434" s="16"/>
    </row>
    <row r="435" spans="2:30" ht="15.75" customHeight="1">
      <c r="B435" s="14"/>
      <c r="C435" s="14"/>
      <c r="D435" s="14"/>
      <c r="E435" s="14"/>
      <c r="F435" s="14"/>
      <c r="G435" s="14"/>
      <c r="H435" s="14"/>
      <c r="I435" s="14"/>
      <c r="J435" s="14"/>
      <c r="K435" s="14"/>
      <c r="L435" s="14"/>
      <c r="M435" s="14"/>
      <c r="N435" s="14"/>
      <c r="O435" s="16"/>
      <c r="P435" s="16"/>
      <c r="Q435" s="16"/>
      <c r="R435" s="16"/>
      <c r="S435" s="16"/>
      <c r="T435" s="16"/>
      <c r="U435" s="16"/>
      <c r="V435" s="16"/>
      <c r="W435" s="16"/>
      <c r="X435" s="16"/>
      <c r="Y435" s="16"/>
      <c r="Z435" s="16"/>
      <c r="AA435" s="16"/>
      <c r="AB435" s="16"/>
      <c r="AC435" s="16"/>
      <c r="AD435" s="16"/>
    </row>
    <row r="436" spans="2:30" ht="15.75" customHeight="1">
      <c r="B436" s="14"/>
      <c r="C436" s="14"/>
      <c r="D436" s="14"/>
      <c r="E436" s="14"/>
      <c r="F436" s="14"/>
      <c r="G436" s="14"/>
      <c r="H436" s="14"/>
      <c r="I436" s="14"/>
      <c r="J436" s="14"/>
      <c r="K436" s="14"/>
      <c r="L436" s="14"/>
      <c r="M436" s="14"/>
      <c r="N436" s="14"/>
      <c r="O436" s="16"/>
      <c r="P436" s="16"/>
      <c r="Q436" s="16"/>
      <c r="R436" s="16"/>
      <c r="S436" s="16"/>
      <c r="T436" s="16"/>
      <c r="U436" s="16"/>
      <c r="V436" s="16"/>
      <c r="W436" s="16"/>
      <c r="X436" s="16"/>
      <c r="Y436" s="16"/>
      <c r="Z436" s="16"/>
      <c r="AA436" s="16"/>
      <c r="AB436" s="16"/>
      <c r="AC436" s="16"/>
      <c r="AD436" s="16"/>
    </row>
    <row r="437" spans="2:30" ht="15.75" customHeight="1">
      <c r="B437" s="14"/>
      <c r="C437" s="14"/>
      <c r="D437" s="14"/>
      <c r="E437" s="14"/>
      <c r="F437" s="14"/>
      <c r="G437" s="14"/>
      <c r="H437" s="14"/>
      <c r="I437" s="14"/>
      <c r="J437" s="14"/>
      <c r="K437" s="14"/>
      <c r="L437" s="14"/>
      <c r="M437" s="14"/>
      <c r="N437" s="14"/>
      <c r="O437" s="16"/>
      <c r="P437" s="16"/>
      <c r="Q437" s="16"/>
      <c r="R437" s="16"/>
      <c r="S437" s="16"/>
      <c r="T437" s="16"/>
      <c r="U437" s="16"/>
      <c r="V437" s="16"/>
      <c r="W437" s="16"/>
      <c r="X437" s="16"/>
      <c r="Y437" s="16"/>
      <c r="Z437" s="16"/>
      <c r="AA437" s="16"/>
      <c r="AB437" s="16"/>
      <c r="AC437" s="16"/>
      <c r="AD437" s="16"/>
    </row>
    <row r="438" spans="2:30" ht="15.75" customHeight="1">
      <c r="B438" s="14"/>
      <c r="C438" s="14"/>
      <c r="D438" s="14"/>
      <c r="E438" s="14"/>
      <c r="F438" s="14"/>
      <c r="G438" s="14"/>
      <c r="H438" s="14"/>
      <c r="I438" s="14"/>
      <c r="J438" s="14"/>
      <c r="K438" s="14"/>
      <c r="L438" s="14"/>
      <c r="M438" s="14"/>
      <c r="N438" s="14"/>
      <c r="O438" s="16"/>
      <c r="P438" s="16"/>
      <c r="Q438" s="16"/>
      <c r="R438" s="16"/>
      <c r="S438" s="16"/>
      <c r="T438" s="16"/>
      <c r="U438" s="16"/>
      <c r="V438" s="16"/>
      <c r="W438" s="16"/>
      <c r="X438" s="16"/>
      <c r="Y438" s="16"/>
      <c r="Z438" s="16"/>
      <c r="AA438" s="16"/>
      <c r="AB438" s="16"/>
      <c r="AC438" s="16"/>
      <c r="AD438" s="16"/>
    </row>
    <row r="439" spans="2:30" ht="15.75" customHeight="1">
      <c r="B439" s="14"/>
      <c r="C439" s="14"/>
      <c r="D439" s="14"/>
      <c r="E439" s="14"/>
      <c r="F439" s="14"/>
      <c r="G439" s="14"/>
      <c r="H439" s="14"/>
      <c r="I439" s="14"/>
      <c r="J439" s="14"/>
      <c r="K439" s="14"/>
      <c r="L439" s="14"/>
      <c r="M439" s="14"/>
      <c r="N439" s="14"/>
      <c r="O439" s="16"/>
      <c r="P439" s="16"/>
      <c r="Q439" s="16"/>
      <c r="R439" s="16"/>
      <c r="S439" s="16"/>
      <c r="T439" s="16"/>
      <c r="U439" s="16"/>
      <c r="V439" s="16"/>
      <c r="W439" s="16"/>
      <c r="X439" s="16"/>
      <c r="Y439" s="16"/>
      <c r="Z439" s="16"/>
      <c r="AA439" s="16"/>
      <c r="AB439" s="16"/>
      <c r="AC439" s="16"/>
      <c r="AD439" s="16"/>
    </row>
    <row r="440" spans="2:30" ht="15.75" customHeight="1">
      <c r="B440" s="14"/>
      <c r="C440" s="14"/>
      <c r="D440" s="14"/>
      <c r="E440" s="14"/>
      <c r="F440" s="14"/>
      <c r="G440" s="14"/>
      <c r="H440" s="14"/>
      <c r="I440" s="14"/>
      <c r="J440" s="14"/>
      <c r="K440" s="14"/>
      <c r="L440" s="14"/>
      <c r="M440" s="14"/>
      <c r="N440" s="14"/>
      <c r="O440" s="16"/>
      <c r="P440" s="16"/>
      <c r="Q440" s="16"/>
      <c r="R440" s="16"/>
      <c r="S440" s="16"/>
      <c r="T440" s="16"/>
      <c r="U440" s="16"/>
      <c r="V440" s="16"/>
      <c r="W440" s="16"/>
      <c r="X440" s="16"/>
      <c r="Y440" s="16"/>
      <c r="Z440" s="16"/>
      <c r="AA440" s="16"/>
      <c r="AB440" s="16"/>
      <c r="AC440" s="16"/>
      <c r="AD440" s="16"/>
    </row>
    <row r="441" spans="2:30" ht="15.75" customHeight="1">
      <c r="B441" s="14"/>
      <c r="C441" s="14"/>
      <c r="D441" s="14"/>
      <c r="E441" s="14"/>
      <c r="F441" s="14"/>
      <c r="G441" s="14"/>
      <c r="H441" s="14"/>
      <c r="I441" s="14"/>
      <c r="J441" s="14"/>
      <c r="K441" s="14"/>
      <c r="L441" s="14"/>
      <c r="M441" s="14"/>
      <c r="N441" s="14"/>
      <c r="O441" s="16"/>
      <c r="P441" s="16"/>
      <c r="Q441" s="16"/>
      <c r="R441" s="16"/>
      <c r="S441" s="16"/>
      <c r="T441" s="16"/>
      <c r="U441" s="16"/>
      <c r="V441" s="16"/>
      <c r="W441" s="16"/>
      <c r="X441" s="16"/>
      <c r="Y441" s="16"/>
      <c r="Z441" s="16"/>
      <c r="AA441" s="16"/>
      <c r="AB441" s="16"/>
      <c r="AC441" s="16"/>
      <c r="AD441" s="16"/>
    </row>
    <row r="442" spans="2:30" ht="15.75" customHeight="1">
      <c r="B442" s="14"/>
      <c r="C442" s="14"/>
      <c r="D442" s="14"/>
      <c r="E442" s="14"/>
      <c r="F442" s="14"/>
      <c r="G442" s="14"/>
      <c r="H442" s="14"/>
      <c r="I442" s="14"/>
      <c r="J442" s="14"/>
      <c r="K442" s="14"/>
      <c r="L442" s="14"/>
      <c r="M442" s="14"/>
      <c r="N442" s="14"/>
      <c r="O442" s="16"/>
      <c r="P442" s="16"/>
      <c r="Q442" s="16"/>
      <c r="R442" s="16"/>
      <c r="S442" s="16"/>
      <c r="T442" s="16"/>
      <c r="U442" s="16"/>
      <c r="V442" s="16"/>
      <c r="W442" s="16"/>
      <c r="X442" s="16"/>
      <c r="Y442" s="16"/>
      <c r="Z442" s="16"/>
      <c r="AA442" s="16"/>
      <c r="AB442" s="16"/>
      <c r="AC442" s="16"/>
      <c r="AD442" s="16"/>
    </row>
    <row r="443" spans="2:30" ht="15.75" customHeight="1">
      <c r="B443" s="14"/>
      <c r="C443" s="14"/>
      <c r="D443" s="14"/>
      <c r="E443" s="14"/>
      <c r="F443" s="14"/>
      <c r="G443" s="14"/>
      <c r="H443" s="14"/>
      <c r="I443" s="14"/>
      <c r="J443" s="14"/>
      <c r="K443" s="14"/>
      <c r="L443" s="14"/>
      <c r="M443" s="14"/>
      <c r="N443" s="14"/>
      <c r="O443" s="16"/>
      <c r="P443" s="16"/>
      <c r="Q443" s="16"/>
      <c r="R443" s="16"/>
      <c r="S443" s="16"/>
      <c r="T443" s="16"/>
      <c r="U443" s="16"/>
      <c r="V443" s="16"/>
      <c r="W443" s="16"/>
      <c r="X443" s="16"/>
      <c r="Y443" s="16"/>
      <c r="Z443" s="16"/>
      <c r="AA443" s="16"/>
      <c r="AB443" s="16"/>
      <c r="AC443" s="16"/>
      <c r="AD443" s="16"/>
    </row>
    <row r="444" spans="2:30" ht="15.75" customHeight="1">
      <c r="B444" s="14"/>
      <c r="C444" s="14"/>
      <c r="D444" s="14"/>
      <c r="E444" s="14"/>
      <c r="F444" s="14"/>
      <c r="G444" s="14"/>
      <c r="H444" s="14"/>
      <c r="I444" s="14"/>
      <c r="J444" s="14"/>
      <c r="K444" s="14"/>
      <c r="L444" s="14"/>
      <c r="M444" s="14"/>
      <c r="N444" s="14"/>
      <c r="O444" s="16"/>
      <c r="P444" s="16"/>
      <c r="Q444" s="16"/>
      <c r="R444" s="16"/>
      <c r="S444" s="16"/>
      <c r="T444" s="16"/>
      <c r="U444" s="16"/>
      <c r="V444" s="16"/>
      <c r="W444" s="16"/>
      <c r="X444" s="16"/>
      <c r="Y444" s="16"/>
      <c r="Z444" s="16"/>
      <c r="AA444" s="16"/>
      <c r="AB444" s="16"/>
      <c r="AC444" s="16"/>
      <c r="AD444" s="16"/>
    </row>
    <row r="445" spans="2:30" ht="15.75" customHeight="1">
      <c r="B445" s="14"/>
      <c r="C445" s="14"/>
      <c r="D445" s="14"/>
      <c r="E445" s="14"/>
      <c r="F445" s="14"/>
      <c r="G445" s="14"/>
      <c r="H445" s="14"/>
      <c r="I445" s="14"/>
      <c r="J445" s="14"/>
      <c r="K445" s="14"/>
      <c r="L445" s="14"/>
      <c r="M445" s="14"/>
      <c r="N445" s="14"/>
      <c r="O445" s="16"/>
      <c r="P445" s="16"/>
      <c r="Q445" s="16"/>
      <c r="R445" s="16"/>
      <c r="S445" s="16"/>
      <c r="T445" s="16"/>
      <c r="U445" s="16"/>
      <c r="V445" s="16"/>
      <c r="W445" s="16"/>
      <c r="X445" s="16"/>
      <c r="Y445" s="16"/>
      <c r="Z445" s="16"/>
      <c r="AA445" s="16"/>
      <c r="AB445" s="16"/>
      <c r="AC445" s="16"/>
      <c r="AD445" s="16"/>
    </row>
    <row r="446" spans="2:30" ht="15.75" customHeight="1">
      <c r="B446" s="14"/>
      <c r="C446" s="14"/>
      <c r="D446" s="14"/>
      <c r="E446" s="14"/>
      <c r="F446" s="14"/>
      <c r="G446" s="14"/>
      <c r="H446" s="14"/>
      <c r="I446" s="14"/>
      <c r="J446" s="14"/>
      <c r="K446" s="14"/>
      <c r="L446" s="14"/>
      <c r="M446" s="14"/>
      <c r="N446" s="14"/>
      <c r="O446" s="16"/>
      <c r="P446" s="16"/>
      <c r="Q446" s="16"/>
      <c r="R446" s="16"/>
      <c r="S446" s="16"/>
      <c r="T446" s="16"/>
      <c r="U446" s="16"/>
      <c r="V446" s="16"/>
      <c r="W446" s="16"/>
      <c r="X446" s="16"/>
      <c r="Y446" s="16"/>
      <c r="Z446" s="16"/>
      <c r="AA446" s="16"/>
      <c r="AB446" s="16"/>
      <c r="AC446" s="16"/>
      <c r="AD446" s="16"/>
    </row>
    <row r="447" spans="2:30" ht="15.75" customHeight="1">
      <c r="B447" s="14"/>
      <c r="C447" s="14"/>
      <c r="D447" s="14"/>
      <c r="E447" s="14"/>
      <c r="F447" s="14"/>
      <c r="G447" s="14"/>
      <c r="H447" s="14"/>
      <c r="I447" s="14"/>
      <c r="J447" s="14"/>
      <c r="K447" s="14"/>
      <c r="L447" s="14"/>
      <c r="M447" s="14"/>
      <c r="N447" s="14"/>
      <c r="O447" s="16"/>
      <c r="P447" s="16"/>
      <c r="Q447" s="16"/>
      <c r="R447" s="16"/>
      <c r="S447" s="16"/>
      <c r="T447" s="16"/>
      <c r="U447" s="16"/>
      <c r="V447" s="16"/>
      <c r="W447" s="16"/>
      <c r="X447" s="16"/>
      <c r="Y447" s="16"/>
      <c r="Z447" s="16"/>
      <c r="AA447" s="16"/>
      <c r="AB447" s="16"/>
      <c r="AC447" s="16"/>
      <c r="AD447" s="16"/>
    </row>
    <row r="448" spans="2:30" ht="15.75" customHeight="1">
      <c r="B448" s="14"/>
      <c r="C448" s="14"/>
      <c r="D448" s="14"/>
      <c r="E448" s="14"/>
      <c r="F448" s="14"/>
      <c r="G448" s="14"/>
      <c r="H448" s="14"/>
      <c r="I448" s="14"/>
      <c r="J448" s="14"/>
      <c r="K448" s="14"/>
      <c r="L448" s="14"/>
      <c r="M448" s="14"/>
      <c r="N448" s="14"/>
      <c r="O448" s="16"/>
      <c r="P448" s="16"/>
      <c r="Q448" s="16"/>
      <c r="R448" s="16"/>
      <c r="S448" s="16"/>
      <c r="T448" s="16"/>
      <c r="U448" s="16"/>
      <c r="V448" s="16"/>
      <c r="W448" s="16"/>
      <c r="X448" s="16"/>
      <c r="Y448" s="16"/>
      <c r="Z448" s="16"/>
      <c r="AA448" s="16"/>
      <c r="AB448" s="16"/>
      <c r="AC448" s="16"/>
      <c r="AD448" s="16"/>
    </row>
    <row r="449" spans="2:30" ht="15.75" customHeight="1">
      <c r="B449" s="14"/>
      <c r="C449" s="14"/>
      <c r="D449" s="14"/>
      <c r="E449" s="14"/>
      <c r="F449" s="14"/>
      <c r="G449" s="14"/>
      <c r="H449" s="14"/>
      <c r="I449" s="14"/>
      <c r="J449" s="14"/>
      <c r="K449" s="14"/>
      <c r="L449" s="14"/>
      <c r="M449" s="14"/>
      <c r="N449" s="14"/>
      <c r="O449" s="16"/>
      <c r="P449" s="16"/>
      <c r="Q449" s="16"/>
      <c r="R449" s="16"/>
      <c r="S449" s="16"/>
      <c r="T449" s="16"/>
      <c r="U449" s="16"/>
      <c r="V449" s="16"/>
      <c r="W449" s="16"/>
      <c r="X449" s="16"/>
      <c r="Y449" s="16"/>
      <c r="Z449" s="16"/>
      <c r="AA449" s="16"/>
      <c r="AB449" s="16"/>
      <c r="AC449" s="16"/>
      <c r="AD449" s="16"/>
    </row>
    <row r="450" spans="2:30" ht="15.75" customHeight="1">
      <c r="B450" s="14"/>
      <c r="C450" s="14"/>
      <c r="D450" s="14"/>
      <c r="E450" s="14"/>
      <c r="F450" s="14"/>
      <c r="G450" s="14"/>
      <c r="H450" s="14"/>
      <c r="I450" s="14"/>
      <c r="J450" s="14"/>
      <c r="K450" s="14"/>
      <c r="L450" s="14"/>
      <c r="M450" s="14"/>
      <c r="N450" s="14"/>
      <c r="O450" s="16"/>
      <c r="P450" s="16"/>
      <c r="Q450" s="16"/>
      <c r="R450" s="16"/>
      <c r="S450" s="16"/>
      <c r="T450" s="16"/>
      <c r="U450" s="16"/>
      <c r="V450" s="16"/>
      <c r="W450" s="16"/>
      <c r="X450" s="16"/>
      <c r="Y450" s="16"/>
      <c r="Z450" s="16"/>
      <c r="AA450" s="16"/>
      <c r="AB450" s="16"/>
      <c r="AC450" s="16"/>
      <c r="AD450" s="16"/>
    </row>
    <row r="451" spans="2:30" ht="15.75" customHeight="1">
      <c r="B451" s="14"/>
      <c r="C451" s="14"/>
      <c r="D451" s="14"/>
      <c r="E451" s="14"/>
      <c r="F451" s="14"/>
      <c r="G451" s="14"/>
      <c r="H451" s="14"/>
      <c r="I451" s="14"/>
      <c r="J451" s="14"/>
      <c r="K451" s="14"/>
      <c r="L451" s="14"/>
      <c r="M451" s="14"/>
      <c r="N451" s="14"/>
      <c r="O451" s="16"/>
      <c r="P451" s="16"/>
      <c r="Q451" s="16"/>
      <c r="R451" s="16"/>
      <c r="S451" s="16"/>
      <c r="T451" s="16"/>
      <c r="U451" s="16"/>
      <c r="V451" s="16"/>
      <c r="W451" s="16"/>
      <c r="X451" s="16"/>
      <c r="Y451" s="16"/>
      <c r="Z451" s="16"/>
      <c r="AA451" s="16"/>
      <c r="AB451" s="16"/>
      <c r="AC451" s="16"/>
      <c r="AD451" s="16"/>
    </row>
    <row r="452" spans="2:30" ht="15.75" customHeight="1">
      <c r="B452" s="14"/>
      <c r="C452" s="14"/>
      <c r="D452" s="14"/>
      <c r="E452" s="14"/>
      <c r="F452" s="14"/>
      <c r="G452" s="14"/>
      <c r="H452" s="14"/>
      <c r="I452" s="14"/>
      <c r="J452" s="14"/>
      <c r="K452" s="14"/>
      <c r="L452" s="14"/>
      <c r="M452" s="14"/>
      <c r="N452" s="14"/>
      <c r="O452" s="16"/>
      <c r="P452" s="16"/>
      <c r="Q452" s="16"/>
      <c r="R452" s="16"/>
      <c r="S452" s="16"/>
      <c r="T452" s="16"/>
      <c r="U452" s="16"/>
      <c r="V452" s="16"/>
      <c r="W452" s="16"/>
      <c r="X452" s="16"/>
      <c r="Y452" s="16"/>
      <c r="Z452" s="16"/>
      <c r="AA452" s="16"/>
      <c r="AB452" s="16"/>
      <c r="AC452" s="16"/>
      <c r="AD452" s="16"/>
    </row>
    <row r="453" spans="2:30" ht="15.75" customHeight="1">
      <c r="B453" s="14"/>
      <c r="C453" s="14"/>
      <c r="D453" s="14"/>
      <c r="E453" s="14"/>
      <c r="F453" s="14"/>
      <c r="G453" s="14"/>
      <c r="H453" s="14"/>
      <c r="I453" s="14"/>
      <c r="J453" s="14"/>
      <c r="K453" s="14"/>
      <c r="L453" s="14"/>
      <c r="M453" s="14"/>
      <c r="N453" s="14"/>
      <c r="O453" s="16"/>
      <c r="P453" s="16"/>
      <c r="Q453" s="16"/>
      <c r="R453" s="16"/>
      <c r="S453" s="16"/>
      <c r="T453" s="16"/>
      <c r="U453" s="16"/>
      <c r="V453" s="16"/>
      <c r="W453" s="16"/>
      <c r="X453" s="16"/>
      <c r="Y453" s="16"/>
      <c r="Z453" s="16"/>
      <c r="AA453" s="16"/>
      <c r="AB453" s="16"/>
      <c r="AC453" s="16"/>
      <c r="AD453" s="16"/>
    </row>
    <row r="454" spans="2:30" ht="15.75" customHeight="1">
      <c r="B454" s="14"/>
      <c r="C454" s="14"/>
      <c r="D454" s="14"/>
      <c r="E454" s="14"/>
      <c r="F454" s="14"/>
      <c r="G454" s="14"/>
      <c r="H454" s="14"/>
      <c r="I454" s="14"/>
      <c r="J454" s="14"/>
      <c r="K454" s="14"/>
      <c r="L454" s="14"/>
      <c r="M454" s="14"/>
      <c r="N454" s="14"/>
      <c r="O454" s="16"/>
      <c r="P454" s="16"/>
      <c r="Q454" s="16"/>
      <c r="R454" s="16"/>
      <c r="S454" s="16"/>
      <c r="T454" s="16"/>
      <c r="U454" s="16"/>
      <c r="V454" s="16"/>
      <c r="W454" s="16"/>
      <c r="X454" s="16"/>
      <c r="Y454" s="16"/>
      <c r="Z454" s="16"/>
      <c r="AA454" s="16"/>
      <c r="AB454" s="16"/>
      <c r="AC454" s="16"/>
      <c r="AD454" s="16"/>
    </row>
    <row r="455" spans="2:30" ht="15.75" customHeight="1">
      <c r="B455" s="14"/>
      <c r="C455" s="14"/>
      <c r="D455" s="14"/>
      <c r="E455" s="14"/>
      <c r="F455" s="14"/>
      <c r="G455" s="14"/>
      <c r="H455" s="14"/>
      <c r="I455" s="14"/>
      <c r="J455" s="14"/>
      <c r="K455" s="14"/>
      <c r="L455" s="14"/>
      <c r="M455" s="14"/>
      <c r="N455" s="14"/>
      <c r="O455" s="16"/>
      <c r="P455" s="16"/>
      <c r="Q455" s="16"/>
      <c r="R455" s="16"/>
      <c r="S455" s="16"/>
      <c r="T455" s="16"/>
      <c r="U455" s="16"/>
      <c r="V455" s="16"/>
      <c r="W455" s="16"/>
      <c r="X455" s="16"/>
      <c r="Y455" s="16"/>
      <c r="Z455" s="16"/>
      <c r="AA455" s="16"/>
      <c r="AB455" s="16"/>
      <c r="AC455" s="16"/>
      <c r="AD455" s="16"/>
    </row>
    <row r="456" spans="2:30" ht="15.75" customHeight="1">
      <c r="B456" s="14"/>
      <c r="C456" s="14"/>
      <c r="D456" s="14"/>
      <c r="E456" s="14"/>
      <c r="F456" s="14"/>
      <c r="G456" s="14"/>
      <c r="H456" s="14"/>
      <c r="I456" s="14"/>
      <c r="J456" s="14"/>
      <c r="K456" s="14"/>
      <c r="L456" s="14"/>
      <c r="M456" s="14"/>
      <c r="N456" s="14"/>
      <c r="O456" s="16"/>
      <c r="P456" s="16"/>
      <c r="Q456" s="16"/>
      <c r="R456" s="16"/>
      <c r="S456" s="16"/>
      <c r="T456" s="16"/>
      <c r="U456" s="16"/>
      <c r="V456" s="16"/>
      <c r="W456" s="16"/>
      <c r="X456" s="16"/>
      <c r="Y456" s="16"/>
      <c r="Z456" s="16"/>
      <c r="AA456" s="16"/>
      <c r="AB456" s="16"/>
      <c r="AC456" s="16"/>
      <c r="AD456" s="16"/>
    </row>
    <row r="457" spans="2:30" ht="15.75" customHeight="1">
      <c r="B457" s="14"/>
      <c r="C457" s="14"/>
      <c r="D457" s="14"/>
      <c r="E457" s="14"/>
      <c r="F457" s="14"/>
      <c r="G457" s="14"/>
      <c r="H457" s="14"/>
      <c r="I457" s="14"/>
      <c r="J457" s="14"/>
      <c r="K457" s="14"/>
      <c r="L457" s="14"/>
      <c r="M457" s="14"/>
      <c r="N457" s="14"/>
      <c r="O457" s="16"/>
      <c r="P457" s="16"/>
      <c r="Q457" s="16"/>
      <c r="R457" s="16"/>
      <c r="S457" s="16"/>
      <c r="T457" s="16"/>
      <c r="U457" s="16"/>
      <c r="V457" s="16"/>
      <c r="W457" s="16"/>
      <c r="X457" s="16"/>
      <c r="Y457" s="16"/>
      <c r="Z457" s="16"/>
      <c r="AA457" s="16"/>
      <c r="AB457" s="16"/>
      <c r="AC457" s="16"/>
      <c r="AD457" s="16"/>
    </row>
    <row r="458" spans="2:30" ht="15.75" customHeight="1">
      <c r="B458" s="14"/>
      <c r="C458" s="14"/>
      <c r="D458" s="14"/>
      <c r="E458" s="14"/>
      <c r="F458" s="14"/>
      <c r="G458" s="14"/>
      <c r="H458" s="14"/>
      <c r="I458" s="14"/>
      <c r="J458" s="14"/>
      <c r="K458" s="14"/>
      <c r="L458" s="14"/>
      <c r="M458" s="14"/>
      <c r="N458" s="14"/>
      <c r="O458" s="16"/>
      <c r="P458" s="16"/>
      <c r="Q458" s="16"/>
      <c r="R458" s="16"/>
      <c r="S458" s="16"/>
      <c r="T458" s="16"/>
      <c r="U458" s="16"/>
      <c r="V458" s="16"/>
      <c r="W458" s="16"/>
      <c r="X458" s="16"/>
      <c r="Y458" s="16"/>
      <c r="Z458" s="16"/>
      <c r="AA458" s="16"/>
      <c r="AB458" s="16"/>
      <c r="AC458" s="16"/>
      <c r="AD458" s="16"/>
    </row>
    <row r="459" spans="2:30" ht="15.75" customHeight="1">
      <c r="B459" s="14"/>
      <c r="C459" s="14"/>
      <c r="D459" s="14"/>
      <c r="E459" s="14"/>
      <c r="F459" s="14"/>
      <c r="G459" s="14"/>
      <c r="H459" s="14"/>
      <c r="I459" s="14"/>
      <c r="J459" s="14"/>
      <c r="K459" s="14"/>
      <c r="L459" s="14"/>
      <c r="M459" s="14"/>
      <c r="N459" s="14"/>
      <c r="O459" s="16"/>
      <c r="P459" s="16"/>
      <c r="Q459" s="16"/>
      <c r="R459" s="16"/>
      <c r="S459" s="16"/>
      <c r="T459" s="16"/>
      <c r="U459" s="16"/>
      <c r="V459" s="16"/>
      <c r="W459" s="16"/>
      <c r="X459" s="16"/>
      <c r="Y459" s="16"/>
      <c r="Z459" s="16"/>
      <c r="AA459" s="16"/>
      <c r="AB459" s="16"/>
      <c r="AC459" s="16"/>
      <c r="AD459" s="16"/>
    </row>
    <row r="460" spans="2:30" ht="15.75" customHeight="1">
      <c r="B460" s="14"/>
      <c r="C460" s="14"/>
      <c r="D460" s="14"/>
      <c r="E460" s="14"/>
      <c r="F460" s="14"/>
      <c r="G460" s="14"/>
      <c r="H460" s="14"/>
      <c r="I460" s="14"/>
      <c r="J460" s="14"/>
      <c r="K460" s="14"/>
      <c r="L460" s="14"/>
      <c r="M460" s="14"/>
      <c r="N460" s="14"/>
      <c r="O460" s="16"/>
      <c r="P460" s="16"/>
      <c r="Q460" s="16"/>
      <c r="R460" s="16"/>
      <c r="S460" s="16"/>
      <c r="T460" s="16"/>
      <c r="U460" s="16"/>
      <c r="V460" s="16"/>
      <c r="W460" s="16"/>
      <c r="X460" s="16"/>
      <c r="Y460" s="16"/>
      <c r="Z460" s="16"/>
      <c r="AA460" s="16"/>
      <c r="AB460" s="16"/>
      <c r="AC460" s="16"/>
      <c r="AD460" s="16"/>
    </row>
    <row r="461" spans="2:30" ht="15.75" customHeight="1">
      <c r="B461" s="14"/>
      <c r="C461" s="14"/>
      <c r="D461" s="14"/>
      <c r="E461" s="14"/>
      <c r="F461" s="14"/>
      <c r="G461" s="14"/>
      <c r="H461" s="14"/>
      <c r="I461" s="14"/>
      <c r="J461" s="14"/>
      <c r="K461" s="14"/>
      <c r="L461" s="14"/>
      <c r="M461" s="14"/>
      <c r="N461" s="14"/>
      <c r="O461" s="16"/>
      <c r="P461" s="16"/>
      <c r="Q461" s="16"/>
      <c r="R461" s="16"/>
      <c r="S461" s="16"/>
      <c r="T461" s="16"/>
      <c r="U461" s="16"/>
      <c r="V461" s="16"/>
      <c r="W461" s="16"/>
      <c r="X461" s="16"/>
      <c r="Y461" s="16"/>
      <c r="Z461" s="16"/>
      <c r="AA461" s="16"/>
      <c r="AB461" s="16"/>
      <c r="AC461" s="16"/>
      <c r="AD461" s="16"/>
    </row>
    <row r="462" spans="2:30" ht="15.75" customHeight="1">
      <c r="B462" s="14"/>
      <c r="C462" s="14"/>
      <c r="D462" s="14"/>
      <c r="E462" s="14"/>
      <c r="F462" s="14"/>
      <c r="G462" s="14"/>
      <c r="H462" s="14"/>
      <c r="I462" s="14"/>
      <c r="J462" s="14"/>
      <c r="K462" s="14"/>
      <c r="L462" s="14"/>
      <c r="M462" s="14"/>
      <c r="N462" s="14"/>
      <c r="O462" s="16"/>
      <c r="P462" s="16"/>
      <c r="Q462" s="16"/>
      <c r="R462" s="16"/>
      <c r="S462" s="16"/>
      <c r="T462" s="16"/>
      <c r="U462" s="16"/>
      <c r="V462" s="16"/>
      <c r="W462" s="16"/>
      <c r="X462" s="16"/>
      <c r="Y462" s="16"/>
      <c r="Z462" s="16"/>
      <c r="AA462" s="16"/>
      <c r="AB462" s="16"/>
      <c r="AC462" s="16"/>
      <c r="AD462" s="16"/>
    </row>
    <row r="463" spans="2:30" ht="15.75" customHeight="1">
      <c r="B463" s="14"/>
      <c r="C463" s="14"/>
      <c r="D463" s="14"/>
      <c r="E463" s="14"/>
      <c r="F463" s="14"/>
      <c r="G463" s="14"/>
      <c r="H463" s="14"/>
      <c r="I463" s="14"/>
      <c r="J463" s="14"/>
      <c r="K463" s="14"/>
      <c r="L463" s="14"/>
      <c r="M463" s="14"/>
      <c r="N463" s="14"/>
      <c r="O463" s="16"/>
      <c r="P463" s="16"/>
      <c r="Q463" s="16"/>
      <c r="R463" s="16"/>
      <c r="S463" s="16"/>
      <c r="T463" s="16"/>
      <c r="U463" s="16"/>
      <c r="V463" s="16"/>
      <c r="W463" s="16"/>
      <c r="X463" s="16"/>
      <c r="Y463" s="16"/>
      <c r="Z463" s="16"/>
      <c r="AA463" s="16"/>
      <c r="AB463" s="16"/>
      <c r="AC463" s="16"/>
      <c r="AD463" s="16"/>
    </row>
    <row r="464" spans="2:30" ht="15.75" customHeight="1">
      <c r="B464" s="14"/>
      <c r="C464" s="14"/>
      <c r="D464" s="14"/>
      <c r="E464" s="14"/>
      <c r="F464" s="14"/>
      <c r="G464" s="14"/>
      <c r="H464" s="14"/>
      <c r="I464" s="14"/>
      <c r="J464" s="14"/>
      <c r="K464" s="14"/>
      <c r="L464" s="14"/>
      <c r="M464" s="14"/>
      <c r="N464" s="14"/>
      <c r="O464" s="16"/>
      <c r="P464" s="16"/>
      <c r="Q464" s="16"/>
      <c r="R464" s="16"/>
      <c r="S464" s="16"/>
      <c r="T464" s="16"/>
      <c r="U464" s="16"/>
      <c r="V464" s="16"/>
      <c r="W464" s="16"/>
      <c r="X464" s="16"/>
      <c r="Y464" s="16"/>
      <c r="Z464" s="16"/>
      <c r="AA464" s="16"/>
      <c r="AB464" s="16"/>
      <c r="AC464" s="16"/>
      <c r="AD464" s="16"/>
    </row>
    <row r="465" spans="2:30" ht="15.75" customHeight="1">
      <c r="B465" s="14"/>
      <c r="C465" s="14"/>
      <c r="D465" s="14"/>
      <c r="E465" s="14"/>
      <c r="F465" s="14"/>
      <c r="G465" s="14"/>
      <c r="H465" s="14"/>
      <c r="I465" s="14"/>
      <c r="J465" s="14"/>
      <c r="K465" s="14"/>
      <c r="L465" s="14"/>
      <c r="M465" s="14"/>
      <c r="N465" s="14"/>
      <c r="O465" s="16"/>
      <c r="P465" s="16"/>
      <c r="Q465" s="16"/>
      <c r="R465" s="16"/>
      <c r="S465" s="16"/>
      <c r="T465" s="16"/>
      <c r="U465" s="16"/>
      <c r="V465" s="16"/>
      <c r="W465" s="16"/>
      <c r="X465" s="16"/>
      <c r="Y465" s="16"/>
      <c r="Z465" s="16"/>
      <c r="AA465" s="16"/>
      <c r="AB465" s="16"/>
      <c r="AC465" s="16"/>
      <c r="AD465" s="16"/>
    </row>
    <row r="466" spans="2:30" ht="15.75" customHeight="1">
      <c r="B466" s="14"/>
      <c r="C466" s="14"/>
      <c r="D466" s="14"/>
      <c r="E466" s="14"/>
      <c r="F466" s="14"/>
      <c r="G466" s="14"/>
      <c r="H466" s="14"/>
      <c r="I466" s="14"/>
      <c r="J466" s="14"/>
      <c r="K466" s="14"/>
      <c r="L466" s="14"/>
      <c r="M466" s="14"/>
      <c r="N466" s="14"/>
      <c r="O466" s="16"/>
      <c r="P466" s="16"/>
      <c r="Q466" s="16"/>
      <c r="R466" s="16"/>
      <c r="S466" s="16"/>
      <c r="T466" s="16"/>
      <c r="U466" s="16"/>
      <c r="V466" s="16"/>
      <c r="W466" s="16"/>
      <c r="X466" s="16"/>
      <c r="Y466" s="16"/>
      <c r="Z466" s="16"/>
      <c r="AA466" s="16"/>
      <c r="AB466" s="16"/>
      <c r="AC466" s="16"/>
      <c r="AD466" s="16"/>
    </row>
    <row r="467" spans="2:30" ht="15.75" customHeight="1">
      <c r="B467" s="14"/>
      <c r="C467" s="14"/>
      <c r="D467" s="14"/>
      <c r="E467" s="14"/>
      <c r="F467" s="14"/>
      <c r="G467" s="14"/>
      <c r="H467" s="14"/>
      <c r="I467" s="14"/>
      <c r="J467" s="14"/>
      <c r="K467" s="14"/>
      <c r="L467" s="14"/>
      <c r="M467" s="14"/>
      <c r="N467" s="14"/>
      <c r="O467" s="16"/>
      <c r="P467" s="16"/>
      <c r="Q467" s="16"/>
      <c r="R467" s="16"/>
      <c r="S467" s="16"/>
      <c r="T467" s="16"/>
      <c r="U467" s="16"/>
      <c r="V467" s="16"/>
      <c r="W467" s="16"/>
      <c r="X467" s="16"/>
      <c r="Y467" s="16"/>
      <c r="Z467" s="16"/>
      <c r="AA467" s="16"/>
      <c r="AB467" s="16"/>
      <c r="AC467" s="16"/>
      <c r="AD467" s="16"/>
    </row>
    <row r="468" spans="2:30" ht="15.75" customHeight="1">
      <c r="B468" s="14"/>
      <c r="C468" s="14"/>
      <c r="D468" s="14"/>
      <c r="E468" s="14"/>
      <c r="F468" s="14"/>
      <c r="G468" s="14"/>
      <c r="H468" s="14"/>
      <c r="I468" s="14"/>
      <c r="J468" s="14"/>
      <c r="K468" s="14"/>
      <c r="L468" s="14"/>
      <c r="M468" s="14"/>
      <c r="N468" s="14"/>
      <c r="O468" s="16"/>
      <c r="P468" s="16"/>
      <c r="Q468" s="16"/>
      <c r="R468" s="16"/>
      <c r="S468" s="16"/>
      <c r="T468" s="16"/>
      <c r="U468" s="16"/>
      <c r="V468" s="16"/>
      <c r="W468" s="16"/>
      <c r="X468" s="16"/>
      <c r="Y468" s="16"/>
      <c r="Z468" s="16"/>
      <c r="AA468" s="16"/>
      <c r="AB468" s="16"/>
      <c r="AC468" s="16"/>
      <c r="AD468" s="16"/>
    </row>
    <row r="469" spans="2:30" ht="15.75" customHeight="1">
      <c r="B469" s="14"/>
      <c r="C469" s="14"/>
      <c r="D469" s="14"/>
      <c r="E469" s="14"/>
      <c r="F469" s="14"/>
      <c r="G469" s="14"/>
      <c r="H469" s="14"/>
      <c r="I469" s="14"/>
      <c r="J469" s="14"/>
      <c r="K469" s="14"/>
      <c r="L469" s="14"/>
      <c r="M469" s="14"/>
      <c r="N469" s="14"/>
      <c r="O469" s="16"/>
      <c r="P469" s="16"/>
      <c r="Q469" s="16"/>
      <c r="R469" s="16"/>
      <c r="S469" s="16"/>
      <c r="T469" s="16"/>
      <c r="U469" s="16"/>
      <c r="V469" s="16"/>
      <c r="W469" s="16"/>
      <c r="X469" s="16"/>
      <c r="Y469" s="16"/>
      <c r="Z469" s="16"/>
      <c r="AA469" s="16"/>
      <c r="AB469" s="16"/>
      <c r="AC469" s="16"/>
      <c r="AD469" s="16"/>
    </row>
    <row r="470" spans="2:30" ht="15.75" customHeight="1">
      <c r="B470" s="14"/>
      <c r="C470" s="14"/>
      <c r="D470" s="14"/>
      <c r="E470" s="14"/>
      <c r="F470" s="14"/>
      <c r="G470" s="14"/>
      <c r="H470" s="14"/>
      <c r="I470" s="14"/>
      <c r="J470" s="14"/>
      <c r="K470" s="14"/>
      <c r="L470" s="14"/>
      <c r="M470" s="14"/>
      <c r="N470" s="14"/>
      <c r="O470" s="16"/>
      <c r="P470" s="16"/>
      <c r="Q470" s="16"/>
      <c r="R470" s="16"/>
      <c r="S470" s="16"/>
      <c r="T470" s="16"/>
      <c r="U470" s="16"/>
      <c r="V470" s="16"/>
      <c r="W470" s="16"/>
      <c r="X470" s="16"/>
      <c r="Y470" s="16"/>
      <c r="Z470" s="16"/>
      <c r="AA470" s="16"/>
      <c r="AB470" s="16"/>
      <c r="AC470" s="16"/>
      <c r="AD470" s="16"/>
    </row>
    <row r="471" spans="2:30" ht="15.75" customHeight="1">
      <c r="B471" s="14"/>
      <c r="C471" s="14"/>
      <c r="D471" s="14"/>
      <c r="E471" s="14"/>
      <c r="F471" s="14"/>
      <c r="G471" s="14"/>
      <c r="H471" s="14"/>
      <c r="I471" s="14"/>
      <c r="J471" s="14"/>
      <c r="K471" s="14"/>
      <c r="L471" s="14"/>
      <c r="M471" s="14"/>
      <c r="N471" s="14"/>
      <c r="O471" s="16"/>
      <c r="P471" s="16"/>
      <c r="Q471" s="16"/>
      <c r="R471" s="16"/>
      <c r="S471" s="16"/>
      <c r="T471" s="16"/>
      <c r="U471" s="16"/>
      <c r="V471" s="16"/>
      <c r="W471" s="16"/>
      <c r="X471" s="16"/>
      <c r="Y471" s="16"/>
      <c r="Z471" s="16"/>
      <c r="AA471" s="16"/>
      <c r="AB471" s="16"/>
      <c r="AC471" s="16"/>
      <c r="AD471" s="16"/>
    </row>
    <row r="472" spans="2:30" ht="15.75" customHeight="1">
      <c r="B472" s="14"/>
      <c r="C472" s="14"/>
      <c r="D472" s="14"/>
      <c r="E472" s="14"/>
      <c r="F472" s="14"/>
      <c r="G472" s="14"/>
      <c r="H472" s="14"/>
      <c r="I472" s="14"/>
      <c r="J472" s="14"/>
      <c r="K472" s="14"/>
      <c r="L472" s="14"/>
      <c r="M472" s="14"/>
      <c r="N472" s="14"/>
      <c r="O472" s="16"/>
      <c r="P472" s="16"/>
      <c r="Q472" s="16"/>
      <c r="R472" s="16"/>
      <c r="S472" s="16"/>
      <c r="T472" s="16"/>
      <c r="U472" s="16"/>
      <c r="V472" s="16"/>
      <c r="W472" s="16"/>
      <c r="X472" s="16"/>
      <c r="Y472" s="16"/>
      <c r="Z472" s="16"/>
      <c r="AA472" s="16"/>
      <c r="AB472" s="16"/>
      <c r="AC472" s="16"/>
      <c r="AD472" s="16"/>
    </row>
    <row r="473" spans="2:30" ht="15.75" customHeight="1">
      <c r="B473" s="14"/>
      <c r="C473" s="14"/>
      <c r="D473" s="14"/>
      <c r="E473" s="14"/>
      <c r="F473" s="14"/>
      <c r="G473" s="14"/>
      <c r="H473" s="14"/>
      <c r="I473" s="14"/>
      <c r="J473" s="14"/>
      <c r="K473" s="14"/>
      <c r="L473" s="14"/>
      <c r="M473" s="14"/>
      <c r="N473" s="14"/>
      <c r="O473" s="16"/>
      <c r="P473" s="16"/>
      <c r="Q473" s="16"/>
      <c r="R473" s="16"/>
      <c r="S473" s="16"/>
      <c r="T473" s="16"/>
      <c r="U473" s="16"/>
      <c r="V473" s="16"/>
      <c r="W473" s="16"/>
      <c r="X473" s="16"/>
      <c r="Y473" s="16"/>
      <c r="Z473" s="16"/>
      <c r="AA473" s="16"/>
      <c r="AB473" s="16"/>
      <c r="AC473" s="16"/>
      <c r="AD473" s="16"/>
    </row>
    <row r="474" spans="2:30" ht="15.75" customHeight="1">
      <c r="B474" s="14"/>
      <c r="C474" s="14"/>
      <c r="D474" s="14"/>
      <c r="E474" s="14"/>
      <c r="F474" s="14"/>
      <c r="G474" s="14"/>
      <c r="H474" s="14"/>
      <c r="I474" s="14"/>
      <c r="J474" s="14"/>
      <c r="K474" s="14"/>
      <c r="L474" s="14"/>
      <c r="M474" s="14"/>
      <c r="N474" s="14"/>
      <c r="O474" s="16"/>
      <c r="P474" s="16"/>
      <c r="Q474" s="16"/>
      <c r="R474" s="16"/>
      <c r="S474" s="16"/>
      <c r="T474" s="16"/>
      <c r="U474" s="16"/>
      <c r="V474" s="16"/>
      <c r="W474" s="16"/>
      <c r="X474" s="16"/>
      <c r="Y474" s="16"/>
      <c r="Z474" s="16"/>
      <c r="AA474" s="16"/>
      <c r="AB474" s="16"/>
      <c r="AC474" s="16"/>
      <c r="AD474" s="16"/>
    </row>
    <row r="475" spans="2:30" ht="15.75" customHeight="1">
      <c r="B475" s="14"/>
      <c r="C475" s="14"/>
      <c r="D475" s="14"/>
      <c r="E475" s="14"/>
      <c r="F475" s="14"/>
      <c r="G475" s="14"/>
      <c r="H475" s="14"/>
      <c r="I475" s="14"/>
      <c r="J475" s="14"/>
      <c r="K475" s="14"/>
      <c r="L475" s="14"/>
      <c r="M475" s="14"/>
      <c r="N475" s="14"/>
      <c r="O475" s="16"/>
      <c r="P475" s="16"/>
      <c r="Q475" s="16"/>
      <c r="R475" s="16"/>
      <c r="S475" s="16"/>
      <c r="T475" s="16"/>
      <c r="U475" s="16"/>
      <c r="V475" s="16"/>
      <c r="W475" s="16"/>
      <c r="X475" s="16"/>
      <c r="Y475" s="16"/>
      <c r="Z475" s="16"/>
      <c r="AA475" s="16"/>
      <c r="AB475" s="16"/>
      <c r="AC475" s="16"/>
      <c r="AD475" s="16"/>
    </row>
    <row r="476" spans="2:30" ht="15.75" customHeight="1">
      <c r="B476" s="14"/>
      <c r="C476" s="14"/>
      <c r="D476" s="14"/>
      <c r="E476" s="14"/>
      <c r="F476" s="14"/>
      <c r="G476" s="14"/>
      <c r="H476" s="14"/>
      <c r="I476" s="14"/>
      <c r="J476" s="14"/>
      <c r="K476" s="14"/>
      <c r="L476" s="14"/>
      <c r="M476" s="14"/>
      <c r="N476" s="14"/>
      <c r="O476" s="16"/>
      <c r="P476" s="16"/>
      <c r="Q476" s="16"/>
      <c r="R476" s="16"/>
      <c r="S476" s="16"/>
      <c r="T476" s="16"/>
      <c r="U476" s="16"/>
      <c r="V476" s="16"/>
      <c r="W476" s="16"/>
      <c r="X476" s="16"/>
      <c r="Y476" s="16"/>
      <c r="Z476" s="16"/>
      <c r="AA476" s="16"/>
      <c r="AB476" s="16"/>
      <c r="AC476" s="16"/>
      <c r="AD476" s="16"/>
    </row>
    <row r="477" spans="2:30" ht="15.75" customHeight="1">
      <c r="B477" s="14"/>
      <c r="C477" s="14"/>
      <c r="D477" s="14"/>
      <c r="E477" s="14"/>
      <c r="F477" s="14"/>
      <c r="G477" s="14"/>
      <c r="H477" s="14"/>
      <c r="I477" s="14"/>
      <c r="J477" s="14"/>
      <c r="K477" s="14"/>
      <c r="L477" s="14"/>
      <c r="M477" s="14"/>
      <c r="N477" s="14"/>
      <c r="O477" s="16"/>
      <c r="P477" s="16"/>
      <c r="Q477" s="16"/>
      <c r="R477" s="16"/>
      <c r="S477" s="16"/>
      <c r="T477" s="16"/>
      <c r="U477" s="16"/>
      <c r="V477" s="16"/>
      <c r="W477" s="16"/>
      <c r="X477" s="16"/>
      <c r="Y477" s="16"/>
      <c r="Z477" s="16"/>
      <c r="AA477" s="16"/>
      <c r="AB477" s="16"/>
      <c r="AC477" s="16"/>
      <c r="AD477" s="16"/>
    </row>
    <row r="478" spans="2:30" ht="15.75" customHeight="1">
      <c r="B478" s="14"/>
      <c r="C478" s="14"/>
      <c r="D478" s="14"/>
      <c r="E478" s="14"/>
      <c r="F478" s="14"/>
      <c r="G478" s="14"/>
      <c r="H478" s="14"/>
      <c r="I478" s="14"/>
      <c r="J478" s="14"/>
      <c r="K478" s="14"/>
      <c r="L478" s="14"/>
      <c r="M478" s="14"/>
      <c r="N478" s="14"/>
      <c r="O478" s="16"/>
      <c r="P478" s="16"/>
      <c r="Q478" s="16"/>
      <c r="R478" s="16"/>
      <c r="S478" s="16"/>
      <c r="T478" s="16"/>
      <c r="U478" s="16"/>
      <c r="V478" s="16"/>
      <c r="W478" s="16"/>
      <c r="X478" s="16"/>
      <c r="Y478" s="16"/>
      <c r="Z478" s="16"/>
      <c r="AA478" s="16"/>
      <c r="AB478" s="16"/>
      <c r="AC478" s="16"/>
      <c r="AD478" s="16"/>
    </row>
    <row r="479" spans="2:30" ht="15.75" customHeight="1">
      <c r="B479" s="14"/>
      <c r="C479" s="14"/>
      <c r="D479" s="14"/>
      <c r="E479" s="14"/>
      <c r="F479" s="14"/>
      <c r="G479" s="14"/>
      <c r="H479" s="14"/>
      <c r="I479" s="14"/>
      <c r="J479" s="14"/>
      <c r="K479" s="14"/>
      <c r="L479" s="14"/>
      <c r="M479" s="14"/>
      <c r="N479" s="14"/>
      <c r="O479" s="16"/>
      <c r="P479" s="16"/>
      <c r="Q479" s="16"/>
      <c r="R479" s="16"/>
      <c r="S479" s="16"/>
      <c r="T479" s="16"/>
      <c r="U479" s="16"/>
      <c r="V479" s="16"/>
      <c r="W479" s="16"/>
      <c r="X479" s="16"/>
      <c r="Y479" s="16"/>
      <c r="Z479" s="16"/>
      <c r="AA479" s="16"/>
      <c r="AB479" s="16"/>
      <c r="AC479" s="16"/>
      <c r="AD479" s="16"/>
    </row>
    <row r="480" spans="2:30" ht="15.75" customHeight="1">
      <c r="B480" s="14"/>
      <c r="C480" s="14"/>
      <c r="D480" s="14"/>
      <c r="E480" s="14"/>
      <c r="F480" s="14"/>
      <c r="G480" s="14"/>
      <c r="H480" s="14"/>
      <c r="I480" s="14"/>
      <c r="J480" s="14"/>
      <c r="K480" s="14"/>
      <c r="L480" s="14"/>
      <c r="M480" s="14"/>
      <c r="N480" s="14"/>
      <c r="O480" s="16"/>
      <c r="P480" s="16"/>
      <c r="Q480" s="16"/>
      <c r="R480" s="16"/>
      <c r="S480" s="16"/>
      <c r="T480" s="16"/>
      <c r="U480" s="16"/>
      <c r="V480" s="16"/>
      <c r="W480" s="16"/>
      <c r="X480" s="16"/>
      <c r="Y480" s="16"/>
      <c r="Z480" s="16"/>
      <c r="AA480" s="16"/>
      <c r="AB480" s="16"/>
      <c r="AC480" s="16"/>
      <c r="AD480" s="16"/>
    </row>
    <row r="481" spans="2:30" ht="15.75" customHeight="1">
      <c r="B481" s="14"/>
      <c r="C481" s="14"/>
      <c r="D481" s="14"/>
      <c r="E481" s="14"/>
      <c r="F481" s="14"/>
      <c r="G481" s="14"/>
      <c r="H481" s="14"/>
      <c r="I481" s="14"/>
      <c r="J481" s="14"/>
      <c r="K481" s="14"/>
      <c r="L481" s="14"/>
      <c r="M481" s="14"/>
      <c r="N481" s="14"/>
      <c r="O481" s="16"/>
      <c r="P481" s="16"/>
      <c r="Q481" s="16"/>
      <c r="R481" s="16"/>
      <c r="S481" s="16"/>
      <c r="T481" s="16"/>
      <c r="U481" s="16"/>
      <c r="V481" s="16"/>
      <c r="W481" s="16"/>
      <c r="X481" s="16"/>
      <c r="Y481" s="16"/>
      <c r="Z481" s="16"/>
      <c r="AA481" s="16"/>
      <c r="AB481" s="16"/>
      <c r="AC481" s="16"/>
      <c r="AD481" s="16"/>
    </row>
    <row r="482" spans="2:30" ht="15.75" customHeight="1">
      <c r="B482" s="14"/>
      <c r="C482" s="14"/>
      <c r="D482" s="14"/>
      <c r="E482" s="14"/>
      <c r="F482" s="14"/>
      <c r="G482" s="14"/>
      <c r="H482" s="14"/>
      <c r="I482" s="14"/>
      <c r="J482" s="14"/>
      <c r="K482" s="14"/>
      <c r="L482" s="14"/>
      <c r="M482" s="14"/>
      <c r="N482" s="14"/>
      <c r="O482" s="16"/>
      <c r="P482" s="16"/>
      <c r="Q482" s="16"/>
      <c r="R482" s="16"/>
      <c r="S482" s="16"/>
      <c r="T482" s="16"/>
      <c r="U482" s="16"/>
      <c r="V482" s="16"/>
      <c r="W482" s="16"/>
      <c r="X482" s="16"/>
      <c r="Y482" s="16"/>
      <c r="Z482" s="16"/>
      <c r="AA482" s="16"/>
      <c r="AB482" s="16"/>
      <c r="AC482" s="16"/>
      <c r="AD482" s="16"/>
    </row>
    <row r="483" spans="2:30" ht="15.75" customHeight="1">
      <c r="B483" s="14"/>
      <c r="C483" s="14"/>
      <c r="D483" s="14"/>
      <c r="E483" s="14"/>
      <c r="F483" s="14"/>
      <c r="G483" s="14"/>
      <c r="H483" s="14"/>
      <c r="I483" s="14"/>
      <c r="J483" s="14"/>
      <c r="K483" s="14"/>
      <c r="L483" s="14"/>
      <c r="M483" s="14"/>
      <c r="N483" s="14"/>
      <c r="O483" s="16"/>
      <c r="P483" s="16"/>
      <c r="Q483" s="16"/>
      <c r="R483" s="16"/>
      <c r="S483" s="16"/>
      <c r="T483" s="16"/>
      <c r="U483" s="16"/>
      <c r="V483" s="16"/>
      <c r="W483" s="16"/>
      <c r="X483" s="16"/>
      <c r="Y483" s="16"/>
      <c r="Z483" s="16"/>
      <c r="AA483" s="16"/>
      <c r="AB483" s="16"/>
      <c r="AC483" s="16"/>
      <c r="AD483" s="16"/>
    </row>
    <row r="484" spans="2:30" ht="15.75" customHeight="1">
      <c r="B484" s="14"/>
      <c r="C484" s="14"/>
      <c r="D484" s="14"/>
      <c r="E484" s="14"/>
      <c r="F484" s="14"/>
      <c r="G484" s="14"/>
      <c r="H484" s="14"/>
      <c r="I484" s="14"/>
      <c r="J484" s="14"/>
      <c r="K484" s="14"/>
      <c r="L484" s="14"/>
      <c r="M484" s="14"/>
      <c r="N484" s="14"/>
      <c r="O484" s="16"/>
      <c r="P484" s="16"/>
      <c r="Q484" s="16"/>
      <c r="R484" s="16"/>
      <c r="S484" s="16"/>
      <c r="T484" s="16"/>
      <c r="U484" s="16"/>
      <c r="V484" s="16"/>
      <c r="W484" s="16"/>
      <c r="X484" s="16"/>
      <c r="Y484" s="16"/>
      <c r="Z484" s="16"/>
      <c r="AA484" s="16"/>
      <c r="AB484" s="16"/>
      <c r="AC484" s="16"/>
      <c r="AD484" s="16"/>
    </row>
    <row r="485" spans="2:30" ht="15.75" customHeight="1">
      <c r="B485" s="14"/>
      <c r="C485" s="14"/>
      <c r="D485" s="14"/>
      <c r="E485" s="14"/>
      <c r="F485" s="14"/>
      <c r="G485" s="14"/>
      <c r="H485" s="14"/>
      <c r="I485" s="14"/>
      <c r="J485" s="14"/>
      <c r="K485" s="14"/>
      <c r="L485" s="14"/>
      <c r="M485" s="14"/>
      <c r="N485" s="14"/>
      <c r="O485" s="16"/>
      <c r="P485" s="16"/>
      <c r="Q485" s="16"/>
      <c r="R485" s="16"/>
      <c r="S485" s="16"/>
      <c r="T485" s="16"/>
      <c r="U485" s="16"/>
      <c r="V485" s="16"/>
      <c r="W485" s="16"/>
      <c r="X485" s="16"/>
      <c r="Y485" s="16"/>
      <c r="Z485" s="16"/>
      <c r="AA485" s="16"/>
      <c r="AB485" s="16"/>
      <c r="AC485" s="16"/>
      <c r="AD485" s="16"/>
    </row>
    <row r="486" spans="2:30" ht="15.75" customHeight="1">
      <c r="B486" s="14"/>
      <c r="C486" s="14"/>
      <c r="D486" s="14"/>
      <c r="E486" s="14"/>
      <c r="F486" s="14"/>
      <c r="G486" s="14"/>
      <c r="H486" s="14"/>
      <c r="I486" s="14"/>
      <c r="J486" s="14"/>
      <c r="K486" s="14"/>
      <c r="L486" s="14"/>
      <c r="M486" s="14"/>
      <c r="N486" s="14"/>
      <c r="O486" s="16"/>
      <c r="P486" s="16"/>
      <c r="Q486" s="16"/>
      <c r="R486" s="16"/>
      <c r="S486" s="16"/>
      <c r="T486" s="16"/>
      <c r="U486" s="16"/>
      <c r="V486" s="16"/>
      <c r="W486" s="16"/>
      <c r="X486" s="16"/>
      <c r="Y486" s="16"/>
      <c r="Z486" s="16"/>
      <c r="AA486" s="16"/>
      <c r="AB486" s="16"/>
      <c r="AC486" s="16"/>
      <c r="AD486" s="16"/>
    </row>
    <row r="487" spans="2:30" ht="15.75" customHeight="1">
      <c r="B487" s="14"/>
      <c r="C487" s="14"/>
      <c r="D487" s="14"/>
      <c r="E487" s="14"/>
      <c r="F487" s="14"/>
      <c r="G487" s="14"/>
      <c r="H487" s="14"/>
      <c r="I487" s="14"/>
      <c r="J487" s="14"/>
      <c r="K487" s="14"/>
      <c r="L487" s="14"/>
      <c r="M487" s="14"/>
      <c r="N487" s="14"/>
      <c r="O487" s="16"/>
      <c r="P487" s="16"/>
      <c r="Q487" s="16"/>
      <c r="R487" s="16"/>
      <c r="S487" s="16"/>
      <c r="T487" s="16"/>
      <c r="U487" s="16"/>
      <c r="V487" s="16"/>
      <c r="W487" s="16"/>
      <c r="X487" s="16"/>
      <c r="Y487" s="16"/>
      <c r="Z487" s="16"/>
      <c r="AA487" s="16"/>
      <c r="AB487" s="16"/>
      <c r="AC487" s="16"/>
      <c r="AD487" s="16"/>
    </row>
    <row r="488" spans="2:30" ht="15.75" customHeight="1">
      <c r="B488" s="14"/>
      <c r="C488" s="14"/>
      <c r="D488" s="14"/>
      <c r="E488" s="14"/>
      <c r="F488" s="14"/>
      <c r="G488" s="14"/>
      <c r="H488" s="14"/>
      <c r="I488" s="14"/>
      <c r="J488" s="14"/>
      <c r="K488" s="14"/>
      <c r="L488" s="14"/>
      <c r="M488" s="14"/>
      <c r="N488" s="14"/>
      <c r="O488" s="16"/>
      <c r="P488" s="16"/>
      <c r="Q488" s="16"/>
      <c r="R488" s="16"/>
      <c r="S488" s="16"/>
      <c r="T488" s="16"/>
      <c r="U488" s="16"/>
      <c r="V488" s="16"/>
      <c r="W488" s="16"/>
      <c r="X488" s="16"/>
      <c r="Y488" s="16"/>
      <c r="Z488" s="16"/>
      <c r="AA488" s="16"/>
      <c r="AB488" s="16"/>
      <c r="AC488" s="16"/>
      <c r="AD488" s="16"/>
    </row>
    <row r="489" spans="2:30" ht="15.75" customHeight="1">
      <c r="B489" s="14"/>
      <c r="C489" s="14"/>
      <c r="D489" s="14"/>
      <c r="E489" s="14"/>
      <c r="F489" s="14"/>
      <c r="G489" s="14"/>
      <c r="H489" s="14"/>
      <c r="I489" s="14"/>
      <c r="J489" s="14"/>
      <c r="K489" s="14"/>
      <c r="L489" s="14"/>
      <c r="M489" s="14"/>
      <c r="N489" s="14"/>
      <c r="O489" s="16"/>
      <c r="P489" s="16"/>
      <c r="Q489" s="16"/>
      <c r="R489" s="16"/>
      <c r="S489" s="16"/>
      <c r="T489" s="16"/>
      <c r="U489" s="16"/>
      <c r="V489" s="16"/>
      <c r="W489" s="16"/>
      <c r="X489" s="16"/>
      <c r="Y489" s="16"/>
      <c r="Z489" s="16"/>
      <c r="AA489" s="16"/>
      <c r="AB489" s="16"/>
      <c r="AC489" s="16"/>
      <c r="AD489" s="16"/>
    </row>
    <row r="490" spans="2:30" ht="15.75" customHeight="1">
      <c r="B490" s="14"/>
      <c r="C490" s="14"/>
      <c r="D490" s="14"/>
      <c r="E490" s="14"/>
      <c r="F490" s="14"/>
      <c r="G490" s="14"/>
      <c r="H490" s="14"/>
      <c r="I490" s="14"/>
      <c r="J490" s="14"/>
      <c r="K490" s="14"/>
      <c r="L490" s="14"/>
      <c r="M490" s="14"/>
      <c r="N490" s="14"/>
      <c r="O490" s="16"/>
      <c r="P490" s="16"/>
      <c r="Q490" s="16"/>
      <c r="R490" s="16"/>
      <c r="S490" s="16"/>
      <c r="T490" s="16"/>
      <c r="U490" s="16"/>
      <c r="V490" s="16"/>
      <c r="W490" s="16"/>
      <c r="X490" s="16"/>
      <c r="Y490" s="16"/>
      <c r="Z490" s="16"/>
      <c r="AA490" s="16"/>
      <c r="AB490" s="16"/>
      <c r="AC490" s="16"/>
      <c r="AD490" s="16"/>
    </row>
    <row r="491" spans="2:30" ht="15.75" customHeight="1">
      <c r="B491" s="14"/>
      <c r="C491" s="14"/>
      <c r="D491" s="14"/>
      <c r="E491" s="14"/>
      <c r="F491" s="14"/>
      <c r="G491" s="14"/>
      <c r="H491" s="14"/>
      <c r="I491" s="14"/>
      <c r="J491" s="14"/>
      <c r="K491" s="14"/>
      <c r="L491" s="14"/>
      <c r="M491" s="14"/>
      <c r="N491" s="14"/>
      <c r="O491" s="16"/>
      <c r="P491" s="16"/>
      <c r="Q491" s="16"/>
      <c r="R491" s="16"/>
      <c r="S491" s="16"/>
      <c r="T491" s="16"/>
      <c r="U491" s="16"/>
      <c r="V491" s="16"/>
      <c r="W491" s="16"/>
      <c r="X491" s="16"/>
      <c r="Y491" s="16"/>
      <c r="Z491" s="16"/>
      <c r="AA491" s="16"/>
      <c r="AB491" s="16"/>
      <c r="AC491" s="16"/>
      <c r="AD491" s="16"/>
    </row>
    <row r="492" spans="2:30" ht="15.75" customHeight="1">
      <c r="B492" s="14"/>
      <c r="C492" s="14"/>
      <c r="D492" s="14"/>
      <c r="E492" s="14"/>
      <c r="F492" s="14"/>
      <c r="G492" s="14"/>
      <c r="H492" s="14"/>
      <c r="I492" s="14"/>
      <c r="J492" s="14"/>
      <c r="K492" s="14"/>
      <c r="L492" s="14"/>
      <c r="M492" s="14"/>
      <c r="N492" s="14"/>
      <c r="O492" s="16"/>
      <c r="P492" s="16"/>
      <c r="Q492" s="16"/>
      <c r="R492" s="16"/>
      <c r="S492" s="16"/>
      <c r="T492" s="16"/>
      <c r="U492" s="16"/>
      <c r="V492" s="16"/>
      <c r="W492" s="16"/>
      <c r="X492" s="16"/>
      <c r="Y492" s="16"/>
      <c r="Z492" s="16"/>
      <c r="AA492" s="16"/>
      <c r="AB492" s="16"/>
      <c r="AC492" s="16"/>
      <c r="AD492" s="16"/>
    </row>
    <row r="493" spans="2:30" ht="15.75" customHeight="1">
      <c r="B493" s="14"/>
      <c r="C493" s="14"/>
      <c r="D493" s="14"/>
      <c r="E493" s="14"/>
      <c r="F493" s="14"/>
      <c r="G493" s="14"/>
      <c r="H493" s="14"/>
      <c r="I493" s="14"/>
      <c r="J493" s="14"/>
      <c r="K493" s="14"/>
      <c r="L493" s="14"/>
      <c r="M493" s="14"/>
      <c r="N493" s="14"/>
      <c r="O493" s="16"/>
      <c r="P493" s="16"/>
      <c r="Q493" s="16"/>
      <c r="R493" s="16"/>
      <c r="S493" s="16"/>
      <c r="T493" s="16"/>
      <c r="U493" s="16"/>
      <c r="V493" s="16"/>
      <c r="W493" s="16"/>
      <c r="X493" s="16"/>
      <c r="Y493" s="16"/>
      <c r="Z493" s="16"/>
      <c r="AA493" s="16"/>
      <c r="AB493" s="16"/>
      <c r="AC493" s="16"/>
      <c r="AD493" s="16"/>
    </row>
    <row r="494" spans="2:30" ht="15.75" customHeight="1">
      <c r="B494" s="14"/>
      <c r="C494" s="14"/>
      <c r="D494" s="14"/>
      <c r="E494" s="14"/>
      <c r="F494" s="14"/>
      <c r="G494" s="14"/>
      <c r="H494" s="14"/>
      <c r="I494" s="14"/>
      <c r="J494" s="14"/>
      <c r="K494" s="14"/>
      <c r="L494" s="14"/>
      <c r="M494" s="14"/>
      <c r="N494" s="14"/>
      <c r="O494" s="16"/>
      <c r="P494" s="16"/>
      <c r="Q494" s="16"/>
      <c r="R494" s="16"/>
      <c r="S494" s="16"/>
      <c r="T494" s="16"/>
      <c r="U494" s="16"/>
      <c r="V494" s="16"/>
      <c r="W494" s="16"/>
      <c r="X494" s="16"/>
      <c r="Y494" s="16"/>
      <c r="Z494" s="16"/>
      <c r="AA494" s="16"/>
      <c r="AB494" s="16"/>
      <c r="AC494" s="16"/>
      <c r="AD494" s="16"/>
    </row>
    <row r="495" spans="2:30" ht="15.75" customHeight="1">
      <c r="B495" s="14"/>
      <c r="C495" s="14"/>
      <c r="D495" s="14"/>
      <c r="E495" s="14"/>
      <c r="F495" s="14"/>
      <c r="G495" s="14"/>
      <c r="H495" s="14"/>
      <c r="I495" s="14"/>
      <c r="J495" s="14"/>
      <c r="K495" s="14"/>
      <c r="L495" s="14"/>
      <c r="M495" s="14"/>
      <c r="N495" s="14"/>
      <c r="O495" s="16"/>
      <c r="P495" s="16"/>
      <c r="Q495" s="16"/>
      <c r="R495" s="16"/>
      <c r="S495" s="16"/>
      <c r="T495" s="16"/>
      <c r="U495" s="16"/>
      <c r="V495" s="16"/>
      <c r="W495" s="16"/>
      <c r="X495" s="16"/>
      <c r="Y495" s="16"/>
      <c r="Z495" s="16"/>
      <c r="AA495" s="16"/>
      <c r="AB495" s="16"/>
      <c r="AC495" s="16"/>
      <c r="AD495" s="16"/>
    </row>
    <row r="496" spans="2:30" ht="15.75" customHeight="1">
      <c r="B496" s="14"/>
      <c r="C496" s="14"/>
      <c r="D496" s="14"/>
      <c r="E496" s="14"/>
      <c r="F496" s="14"/>
      <c r="G496" s="14"/>
      <c r="H496" s="14"/>
      <c r="I496" s="14"/>
      <c r="J496" s="14"/>
      <c r="K496" s="14"/>
      <c r="L496" s="14"/>
      <c r="M496" s="14"/>
      <c r="N496" s="14"/>
      <c r="O496" s="16"/>
      <c r="P496" s="16"/>
      <c r="Q496" s="16"/>
      <c r="R496" s="16"/>
      <c r="S496" s="16"/>
      <c r="T496" s="16"/>
      <c r="U496" s="16"/>
      <c r="V496" s="16"/>
      <c r="W496" s="16"/>
      <c r="X496" s="16"/>
      <c r="Y496" s="16"/>
      <c r="Z496" s="16"/>
      <c r="AA496" s="16"/>
      <c r="AB496" s="16"/>
      <c r="AC496" s="16"/>
      <c r="AD496" s="16"/>
    </row>
    <row r="497" spans="2:30" ht="15.75" customHeight="1">
      <c r="B497" s="14"/>
      <c r="C497" s="14"/>
      <c r="D497" s="14"/>
      <c r="E497" s="14"/>
      <c r="F497" s="14"/>
      <c r="G497" s="14"/>
      <c r="H497" s="14"/>
      <c r="I497" s="14"/>
      <c r="J497" s="14"/>
      <c r="K497" s="14"/>
      <c r="L497" s="14"/>
      <c r="M497" s="14"/>
      <c r="N497" s="14"/>
      <c r="O497" s="16"/>
      <c r="P497" s="16"/>
      <c r="Q497" s="16"/>
      <c r="R497" s="16"/>
      <c r="S497" s="16"/>
      <c r="T497" s="16"/>
      <c r="U497" s="16"/>
      <c r="V497" s="16"/>
      <c r="W497" s="16"/>
      <c r="X497" s="16"/>
      <c r="Y497" s="16"/>
      <c r="Z497" s="16"/>
      <c r="AA497" s="16"/>
      <c r="AB497" s="16"/>
      <c r="AC497" s="16"/>
      <c r="AD497" s="16"/>
    </row>
    <row r="498" spans="2:30" ht="15.75" customHeight="1">
      <c r="B498" s="14"/>
      <c r="C498" s="14"/>
      <c r="D498" s="14"/>
      <c r="E498" s="14"/>
      <c r="F498" s="14"/>
      <c r="G498" s="14"/>
      <c r="H498" s="14"/>
      <c r="I498" s="14"/>
      <c r="J498" s="14"/>
      <c r="K498" s="14"/>
      <c r="L498" s="14"/>
      <c r="M498" s="14"/>
      <c r="N498" s="14"/>
      <c r="O498" s="16"/>
      <c r="P498" s="16"/>
      <c r="Q498" s="16"/>
      <c r="R498" s="16"/>
      <c r="S498" s="16"/>
      <c r="T498" s="16"/>
      <c r="U498" s="16"/>
      <c r="V498" s="16"/>
      <c r="W498" s="16"/>
      <c r="X498" s="16"/>
      <c r="Y498" s="16"/>
      <c r="Z498" s="16"/>
      <c r="AA498" s="16"/>
      <c r="AB498" s="16"/>
      <c r="AC498" s="16"/>
      <c r="AD498" s="16"/>
    </row>
    <row r="499" spans="2:30" ht="15.75" customHeight="1">
      <c r="B499" s="14"/>
      <c r="C499" s="14"/>
      <c r="D499" s="14"/>
      <c r="E499" s="14"/>
      <c r="F499" s="14"/>
      <c r="G499" s="14"/>
      <c r="H499" s="14"/>
      <c r="I499" s="14"/>
      <c r="J499" s="14"/>
      <c r="K499" s="14"/>
      <c r="L499" s="14"/>
      <c r="M499" s="14"/>
      <c r="N499" s="14"/>
      <c r="O499" s="16"/>
      <c r="P499" s="16"/>
      <c r="Q499" s="16"/>
      <c r="R499" s="16"/>
      <c r="S499" s="16"/>
      <c r="T499" s="16"/>
      <c r="U499" s="16"/>
      <c r="V499" s="16"/>
      <c r="W499" s="16"/>
      <c r="X499" s="16"/>
      <c r="Y499" s="16"/>
      <c r="Z499" s="16"/>
      <c r="AA499" s="16"/>
      <c r="AB499" s="16"/>
      <c r="AC499" s="16"/>
      <c r="AD499" s="16"/>
    </row>
    <row r="500" spans="2:30" ht="15.75" customHeight="1">
      <c r="B500" s="14"/>
      <c r="C500" s="14"/>
      <c r="D500" s="14"/>
      <c r="E500" s="14"/>
      <c r="F500" s="14"/>
      <c r="G500" s="14"/>
      <c r="H500" s="14"/>
      <c r="I500" s="14"/>
      <c r="J500" s="14"/>
      <c r="K500" s="14"/>
      <c r="L500" s="14"/>
      <c r="M500" s="14"/>
      <c r="N500" s="14"/>
      <c r="O500" s="16"/>
      <c r="P500" s="16"/>
      <c r="Q500" s="16"/>
      <c r="R500" s="16"/>
      <c r="S500" s="16"/>
      <c r="T500" s="16"/>
      <c r="U500" s="16"/>
      <c r="V500" s="16"/>
      <c r="W500" s="16"/>
      <c r="X500" s="16"/>
      <c r="Y500" s="16"/>
      <c r="Z500" s="16"/>
      <c r="AA500" s="16"/>
      <c r="AB500" s="16"/>
      <c r="AC500" s="16"/>
      <c r="AD500" s="16"/>
    </row>
    <row r="501" spans="2:30" ht="15.75" customHeight="1">
      <c r="B501" s="14"/>
      <c r="C501" s="14"/>
      <c r="D501" s="14"/>
      <c r="E501" s="14"/>
      <c r="F501" s="14"/>
      <c r="G501" s="14"/>
      <c r="H501" s="14"/>
      <c r="I501" s="14"/>
      <c r="J501" s="14"/>
      <c r="K501" s="14"/>
      <c r="L501" s="14"/>
      <c r="M501" s="14"/>
      <c r="N501" s="14"/>
      <c r="O501" s="16"/>
      <c r="P501" s="16"/>
      <c r="Q501" s="16"/>
      <c r="R501" s="16"/>
      <c r="S501" s="16"/>
      <c r="T501" s="16"/>
      <c r="U501" s="16"/>
      <c r="V501" s="16"/>
      <c r="W501" s="16"/>
      <c r="X501" s="16"/>
      <c r="Y501" s="16"/>
      <c r="Z501" s="16"/>
      <c r="AA501" s="16"/>
      <c r="AB501" s="16"/>
      <c r="AC501" s="16"/>
      <c r="AD501" s="16"/>
    </row>
    <row r="502" spans="2:30" ht="15.75" customHeight="1">
      <c r="B502" s="14"/>
      <c r="C502" s="14"/>
      <c r="D502" s="14"/>
      <c r="E502" s="14"/>
      <c r="F502" s="14"/>
      <c r="G502" s="14"/>
      <c r="H502" s="14"/>
      <c r="I502" s="14"/>
      <c r="J502" s="14"/>
      <c r="K502" s="14"/>
      <c r="L502" s="14"/>
      <c r="M502" s="14"/>
      <c r="N502" s="14"/>
      <c r="O502" s="16"/>
      <c r="P502" s="16"/>
      <c r="Q502" s="16"/>
      <c r="R502" s="16"/>
      <c r="S502" s="16"/>
      <c r="T502" s="16"/>
      <c r="U502" s="16"/>
      <c r="V502" s="16"/>
      <c r="W502" s="16"/>
      <c r="X502" s="16"/>
      <c r="Y502" s="16"/>
      <c r="Z502" s="16"/>
      <c r="AA502" s="16"/>
      <c r="AB502" s="16"/>
      <c r="AC502" s="16"/>
      <c r="AD502" s="16"/>
    </row>
    <row r="503" spans="2:30" ht="15.75" customHeight="1">
      <c r="B503" s="14"/>
      <c r="C503" s="14"/>
      <c r="D503" s="14"/>
      <c r="E503" s="14"/>
      <c r="F503" s="14"/>
      <c r="G503" s="14"/>
      <c r="H503" s="14"/>
      <c r="I503" s="14"/>
      <c r="J503" s="14"/>
      <c r="K503" s="14"/>
      <c r="L503" s="14"/>
      <c r="M503" s="14"/>
      <c r="N503" s="14"/>
      <c r="O503" s="16"/>
      <c r="P503" s="16"/>
      <c r="Q503" s="16"/>
      <c r="R503" s="16"/>
      <c r="S503" s="16"/>
      <c r="T503" s="16"/>
      <c r="U503" s="16"/>
      <c r="V503" s="16"/>
      <c r="W503" s="16"/>
      <c r="X503" s="16"/>
      <c r="Y503" s="16"/>
      <c r="Z503" s="16"/>
      <c r="AA503" s="16"/>
      <c r="AB503" s="16"/>
      <c r="AC503" s="16"/>
      <c r="AD503" s="16"/>
    </row>
    <row r="504" spans="2:30" ht="15.75" customHeight="1">
      <c r="B504" s="14"/>
      <c r="C504" s="14"/>
      <c r="D504" s="14"/>
      <c r="E504" s="14"/>
      <c r="F504" s="14"/>
      <c r="G504" s="14"/>
      <c r="H504" s="14"/>
      <c r="I504" s="14"/>
      <c r="J504" s="14"/>
      <c r="K504" s="14"/>
      <c r="L504" s="14"/>
      <c r="M504" s="14"/>
      <c r="N504" s="14"/>
      <c r="O504" s="16"/>
      <c r="P504" s="16"/>
      <c r="Q504" s="16"/>
      <c r="R504" s="16"/>
      <c r="S504" s="16"/>
      <c r="T504" s="16"/>
      <c r="U504" s="16"/>
      <c r="V504" s="16"/>
      <c r="W504" s="16"/>
      <c r="X504" s="16"/>
      <c r="Y504" s="16"/>
      <c r="Z504" s="16"/>
      <c r="AA504" s="16"/>
      <c r="AB504" s="16"/>
      <c r="AC504" s="16"/>
      <c r="AD504" s="16"/>
    </row>
    <row r="505" spans="2:30" ht="15.75" customHeight="1">
      <c r="B505" s="14"/>
      <c r="C505" s="14"/>
      <c r="D505" s="14"/>
      <c r="E505" s="14"/>
      <c r="F505" s="14"/>
      <c r="G505" s="14"/>
      <c r="H505" s="14"/>
      <c r="I505" s="14"/>
      <c r="J505" s="14"/>
      <c r="K505" s="14"/>
      <c r="L505" s="14"/>
      <c r="M505" s="14"/>
      <c r="N505" s="14"/>
      <c r="O505" s="16"/>
      <c r="P505" s="16"/>
      <c r="Q505" s="16"/>
      <c r="R505" s="16"/>
      <c r="S505" s="16"/>
      <c r="T505" s="16"/>
      <c r="U505" s="16"/>
      <c r="V505" s="16"/>
      <c r="W505" s="16"/>
      <c r="X505" s="16"/>
      <c r="Y505" s="16"/>
      <c r="Z505" s="16"/>
      <c r="AA505" s="16"/>
      <c r="AB505" s="16"/>
      <c r="AC505" s="16"/>
      <c r="AD505" s="16"/>
    </row>
    <row r="506" spans="2:30" ht="15.75" customHeight="1">
      <c r="B506" s="14"/>
      <c r="C506" s="14"/>
      <c r="D506" s="14"/>
      <c r="E506" s="14"/>
      <c r="F506" s="14"/>
      <c r="G506" s="14"/>
      <c r="H506" s="14"/>
      <c r="I506" s="14"/>
      <c r="J506" s="14"/>
      <c r="K506" s="14"/>
      <c r="L506" s="14"/>
      <c r="M506" s="14"/>
      <c r="N506" s="14"/>
      <c r="O506" s="16"/>
      <c r="P506" s="16"/>
      <c r="Q506" s="16"/>
      <c r="R506" s="16"/>
      <c r="S506" s="16"/>
      <c r="T506" s="16"/>
      <c r="U506" s="16"/>
      <c r="V506" s="16"/>
      <c r="W506" s="16"/>
      <c r="X506" s="16"/>
      <c r="Y506" s="16"/>
      <c r="Z506" s="16"/>
      <c r="AA506" s="16"/>
      <c r="AB506" s="16"/>
      <c r="AC506" s="16"/>
      <c r="AD506" s="16"/>
    </row>
    <row r="507" spans="2:30" ht="15.75" customHeight="1">
      <c r="B507" s="14"/>
      <c r="C507" s="14"/>
      <c r="D507" s="14"/>
      <c r="E507" s="14"/>
      <c r="F507" s="14"/>
      <c r="G507" s="14"/>
      <c r="H507" s="14"/>
      <c r="I507" s="14"/>
      <c r="J507" s="14"/>
      <c r="K507" s="14"/>
      <c r="L507" s="14"/>
      <c r="M507" s="14"/>
      <c r="N507" s="14"/>
      <c r="O507" s="16"/>
      <c r="P507" s="16"/>
      <c r="Q507" s="16"/>
      <c r="R507" s="16"/>
      <c r="S507" s="16"/>
      <c r="T507" s="16"/>
      <c r="U507" s="16"/>
      <c r="V507" s="16"/>
      <c r="W507" s="16"/>
      <c r="X507" s="16"/>
      <c r="Y507" s="16"/>
      <c r="Z507" s="16"/>
      <c r="AA507" s="16"/>
      <c r="AB507" s="16"/>
      <c r="AC507" s="16"/>
      <c r="AD507" s="16"/>
    </row>
    <row r="508" spans="2:30" ht="15.75" customHeight="1">
      <c r="B508" s="14"/>
      <c r="C508" s="14"/>
      <c r="D508" s="14"/>
      <c r="E508" s="14"/>
      <c r="F508" s="14"/>
      <c r="G508" s="14"/>
      <c r="H508" s="14"/>
      <c r="I508" s="14"/>
      <c r="J508" s="14"/>
      <c r="K508" s="14"/>
      <c r="L508" s="14"/>
      <c r="M508" s="14"/>
      <c r="N508" s="14"/>
      <c r="O508" s="16"/>
      <c r="P508" s="16"/>
      <c r="Q508" s="16"/>
      <c r="R508" s="16"/>
      <c r="S508" s="16"/>
      <c r="T508" s="16"/>
      <c r="U508" s="16"/>
      <c r="V508" s="16"/>
      <c r="W508" s="16"/>
      <c r="X508" s="16"/>
      <c r="Y508" s="16"/>
      <c r="Z508" s="16"/>
      <c r="AA508" s="16"/>
      <c r="AB508" s="16"/>
      <c r="AC508" s="16"/>
      <c r="AD508" s="16"/>
    </row>
    <row r="509" spans="2:30" ht="15.75" customHeight="1">
      <c r="B509" s="14"/>
      <c r="C509" s="14"/>
      <c r="D509" s="14"/>
      <c r="E509" s="14"/>
      <c r="F509" s="14"/>
      <c r="G509" s="14"/>
      <c r="H509" s="14"/>
      <c r="I509" s="14"/>
      <c r="J509" s="14"/>
      <c r="K509" s="14"/>
      <c r="L509" s="14"/>
      <c r="M509" s="14"/>
      <c r="N509" s="14"/>
      <c r="O509" s="16"/>
      <c r="P509" s="16"/>
      <c r="Q509" s="16"/>
      <c r="R509" s="16"/>
      <c r="S509" s="16"/>
      <c r="T509" s="16"/>
      <c r="U509" s="16"/>
      <c r="V509" s="16"/>
      <c r="W509" s="16"/>
      <c r="X509" s="16"/>
      <c r="Y509" s="16"/>
      <c r="Z509" s="16"/>
      <c r="AA509" s="16"/>
      <c r="AB509" s="16"/>
      <c r="AC509" s="16"/>
      <c r="AD509" s="16"/>
    </row>
    <row r="510" spans="2:30" ht="15.75" customHeight="1">
      <c r="B510" s="14"/>
      <c r="C510" s="14"/>
      <c r="D510" s="14"/>
      <c r="E510" s="14"/>
      <c r="F510" s="14"/>
      <c r="G510" s="14"/>
      <c r="H510" s="14"/>
      <c r="I510" s="14"/>
      <c r="J510" s="14"/>
      <c r="K510" s="14"/>
      <c r="L510" s="14"/>
      <c r="M510" s="14"/>
      <c r="N510" s="14"/>
      <c r="O510" s="16"/>
      <c r="P510" s="16"/>
      <c r="Q510" s="16"/>
      <c r="R510" s="16"/>
      <c r="S510" s="16"/>
      <c r="T510" s="16"/>
      <c r="U510" s="16"/>
      <c r="V510" s="16"/>
      <c r="W510" s="16"/>
      <c r="X510" s="16"/>
      <c r="Y510" s="16"/>
      <c r="Z510" s="16"/>
      <c r="AA510" s="16"/>
      <c r="AB510" s="16"/>
      <c r="AC510" s="16"/>
      <c r="AD510" s="16"/>
    </row>
    <row r="511" spans="2:30" ht="15.75" customHeight="1">
      <c r="B511" s="14"/>
      <c r="C511" s="14"/>
      <c r="D511" s="14"/>
      <c r="E511" s="14"/>
      <c r="F511" s="14"/>
      <c r="G511" s="14"/>
      <c r="H511" s="14"/>
      <c r="I511" s="14"/>
      <c r="J511" s="14"/>
      <c r="K511" s="14"/>
      <c r="L511" s="14"/>
      <c r="M511" s="14"/>
      <c r="N511" s="14"/>
      <c r="O511" s="16"/>
      <c r="P511" s="16"/>
      <c r="Q511" s="16"/>
      <c r="R511" s="16"/>
      <c r="S511" s="16"/>
      <c r="T511" s="16"/>
      <c r="U511" s="16"/>
      <c r="V511" s="16"/>
      <c r="W511" s="16"/>
      <c r="X511" s="16"/>
      <c r="Y511" s="16"/>
      <c r="Z511" s="16"/>
      <c r="AA511" s="16"/>
      <c r="AB511" s="16"/>
      <c r="AC511" s="16"/>
      <c r="AD511" s="16"/>
    </row>
    <row r="512" spans="2:30" ht="15.75" customHeight="1">
      <c r="B512" s="14"/>
      <c r="C512" s="14"/>
      <c r="D512" s="14"/>
      <c r="E512" s="14"/>
      <c r="F512" s="14"/>
      <c r="G512" s="14"/>
      <c r="H512" s="14"/>
      <c r="I512" s="14"/>
      <c r="J512" s="14"/>
      <c r="K512" s="14"/>
      <c r="L512" s="14"/>
      <c r="M512" s="14"/>
      <c r="N512" s="14"/>
      <c r="O512" s="16"/>
      <c r="P512" s="16"/>
      <c r="Q512" s="16"/>
      <c r="R512" s="16"/>
      <c r="S512" s="16"/>
      <c r="T512" s="16"/>
      <c r="U512" s="16"/>
      <c r="V512" s="16"/>
      <c r="W512" s="16"/>
      <c r="X512" s="16"/>
      <c r="Y512" s="16"/>
      <c r="Z512" s="16"/>
      <c r="AA512" s="16"/>
      <c r="AB512" s="16"/>
      <c r="AC512" s="16"/>
      <c r="AD512" s="16"/>
    </row>
    <row r="513" spans="2:30" ht="15.75" customHeight="1">
      <c r="B513" s="14"/>
      <c r="C513" s="14"/>
      <c r="D513" s="14"/>
      <c r="E513" s="14"/>
      <c r="F513" s="14"/>
      <c r="G513" s="14"/>
      <c r="H513" s="14"/>
      <c r="I513" s="14"/>
      <c r="J513" s="14"/>
      <c r="K513" s="14"/>
      <c r="L513" s="14"/>
      <c r="M513" s="14"/>
      <c r="N513" s="14"/>
      <c r="O513" s="16"/>
      <c r="P513" s="16"/>
      <c r="Q513" s="16"/>
      <c r="R513" s="16"/>
      <c r="S513" s="16"/>
      <c r="T513" s="16"/>
      <c r="U513" s="16"/>
      <c r="V513" s="16"/>
      <c r="W513" s="16"/>
      <c r="X513" s="16"/>
      <c r="Y513" s="16"/>
      <c r="Z513" s="16"/>
      <c r="AA513" s="16"/>
      <c r="AB513" s="16"/>
      <c r="AC513" s="16"/>
      <c r="AD513" s="16"/>
    </row>
    <row r="514" spans="2:30" ht="15.75" customHeight="1">
      <c r="B514" s="14"/>
      <c r="C514" s="14"/>
      <c r="D514" s="14"/>
      <c r="E514" s="14"/>
      <c r="F514" s="14"/>
      <c r="G514" s="14"/>
      <c r="H514" s="14"/>
      <c r="I514" s="14"/>
      <c r="J514" s="14"/>
      <c r="K514" s="14"/>
      <c r="L514" s="14"/>
      <c r="M514" s="14"/>
      <c r="N514" s="14"/>
      <c r="O514" s="16"/>
      <c r="P514" s="16"/>
      <c r="Q514" s="16"/>
      <c r="R514" s="16"/>
      <c r="S514" s="16"/>
      <c r="T514" s="16"/>
      <c r="U514" s="16"/>
      <c r="V514" s="16"/>
      <c r="W514" s="16"/>
      <c r="X514" s="16"/>
      <c r="Y514" s="16"/>
      <c r="Z514" s="16"/>
      <c r="AA514" s="16"/>
      <c r="AB514" s="16"/>
      <c r="AC514" s="16"/>
      <c r="AD514" s="16"/>
    </row>
    <row r="515" spans="2:30" ht="15.75" customHeight="1">
      <c r="B515" s="14"/>
      <c r="C515" s="14"/>
      <c r="D515" s="14"/>
      <c r="E515" s="14"/>
      <c r="F515" s="14"/>
      <c r="G515" s="14"/>
      <c r="H515" s="14"/>
      <c r="I515" s="14"/>
      <c r="J515" s="14"/>
      <c r="K515" s="14"/>
      <c r="L515" s="14"/>
      <c r="M515" s="14"/>
      <c r="N515" s="14"/>
      <c r="O515" s="16"/>
      <c r="P515" s="16"/>
      <c r="Q515" s="16"/>
      <c r="R515" s="16"/>
      <c r="S515" s="16"/>
      <c r="T515" s="16"/>
      <c r="U515" s="16"/>
      <c r="V515" s="16"/>
      <c r="W515" s="16"/>
      <c r="X515" s="16"/>
      <c r="Y515" s="16"/>
      <c r="Z515" s="16"/>
      <c r="AA515" s="16"/>
      <c r="AB515" s="16"/>
      <c r="AC515" s="16"/>
      <c r="AD515" s="16"/>
    </row>
    <row r="516" spans="2:30" ht="15.75" customHeight="1">
      <c r="B516" s="14"/>
      <c r="C516" s="14"/>
      <c r="D516" s="14"/>
      <c r="E516" s="14"/>
      <c r="F516" s="14"/>
      <c r="G516" s="14"/>
      <c r="H516" s="14"/>
      <c r="I516" s="14"/>
      <c r="J516" s="14"/>
      <c r="K516" s="14"/>
      <c r="L516" s="14"/>
      <c r="M516" s="14"/>
      <c r="N516" s="14"/>
      <c r="O516" s="16"/>
      <c r="P516" s="16"/>
      <c r="Q516" s="16"/>
      <c r="R516" s="16"/>
      <c r="S516" s="16"/>
      <c r="T516" s="16"/>
      <c r="U516" s="16"/>
      <c r="V516" s="16"/>
      <c r="W516" s="16"/>
      <c r="X516" s="16"/>
      <c r="Y516" s="16"/>
      <c r="Z516" s="16"/>
      <c r="AA516" s="16"/>
      <c r="AB516" s="16"/>
      <c r="AC516" s="16"/>
      <c r="AD516" s="16"/>
    </row>
    <row r="517" spans="2:30" ht="15.75" customHeight="1">
      <c r="B517" s="14"/>
      <c r="C517" s="14"/>
      <c r="D517" s="14"/>
      <c r="E517" s="14"/>
      <c r="F517" s="14"/>
      <c r="G517" s="14"/>
      <c r="H517" s="14"/>
      <c r="I517" s="14"/>
      <c r="J517" s="14"/>
      <c r="K517" s="14"/>
      <c r="L517" s="14"/>
      <c r="M517" s="14"/>
      <c r="N517" s="14"/>
      <c r="O517" s="16"/>
      <c r="P517" s="16"/>
      <c r="Q517" s="16"/>
      <c r="R517" s="16"/>
      <c r="S517" s="16"/>
      <c r="T517" s="16"/>
      <c r="U517" s="16"/>
      <c r="V517" s="16"/>
      <c r="W517" s="16"/>
      <c r="X517" s="16"/>
      <c r="Y517" s="16"/>
      <c r="Z517" s="16"/>
      <c r="AA517" s="16"/>
      <c r="AB517" s="16"/>
      <c r="AC517" s="16"/>
      <c r="AD517" s="16"/>
    </row>
    <row r="518" spans="2:30" ht="15.75" customHeight="1">
      <c r="B518" s="14"/>
      <c r="C518" s="14"/>
      <c r="D518" s="14"/>
      <c r="E518" s="14"/>
      <c r="F518" s="14"/>
      <c r="G518" s="14"/>
      <c r="H518" s="14"/>
      <c r="I518" s="14"/>
      <c r="J518" s="14"/>
      <c r="K518" s="14"/>
      <c r="L518" s="14"/>
      <c r="M518" s="14"/>
      <c r="N518" s="14"/>
      <c r="O518" s="16"/>
      <c r="P518" s="16"/>
      <c r="Q518" s="16"/>
      <c r="R518" s="16"/>
      <c r="S518" s="16"/>
      <c r="T518" s="16"/>
      <c r="U518" s="16"/>
      <c r="V518" s="16"/>
      <c r="W518" s="16"/>
      <c r="X518" s="16"/>
      <c r="Y518" s="16"/>
      <c r="Z518" s="16"/>
      <c r="AA518" s="16"/>
      <c r="AB518" s="16"/>
      <c r="AC518" s="16"/>
      <c r="AD518" s="16"/>
    </row>
    <row r="519" spans="2:30" ht="15.75" customHeight="1">
      <c r="B519" s="14"/>
      <c r="C519" s="14"/>
      <c r="D519" s="14"/>
      <c r="E519" s="14"/>
      <c r="F519" s="14"/>
      <c r="G519" s="14"/>
      <c r="H519" s="14"/>
      <c r="I519" s="14"/>
      <c r="J519" s="14"/>
      <c r="K519" s="14"/>
      <c r="L519" s="14"/>
      <c r="M519" s="14"/>
      <c r="N519" s="14"/>
      <c r="O519" s="16"/>
      <c r="P519" s="16"/>
      <c r="Q519" s="16"/>
      <c r="R519" s="16"/>
      <c r="S519" s="16"/>
      <c r="T519" s="16"/>
      <c r="U519" s="16"/>
      <c r="V519" s="16"/>
      <c r="W519" s="16"/>
      <c r="X519" s="16"/>
      <c r="Y519" s="16"/>
      <c r="Z519" s="16"/>
      <c r="AA519" s="16"/>
      <c r="AB519" s="16"/>
      <c r="AC519" s="16"/>
      <c r="AD519" s="16"/>
    </row>
    <row r="520" spans="2:30" ht="15.75" customHeight="1">
      <c r="B520" s="14"/>
      <c r="C520" s="14"/>
      <c r="D520" s="14"/>
      <c r="E520" s="14"/>
      <c r="F520" s="14"/>
      <c r="G520" s="14"/>
      <c r="H520" s="14"/>
      <c r="I520" s="14"/>
      <c r="J520" s="14"/>
      <c r="K520" s="14"/>
      <c r="L520" s="14"/>
      <c r="M520" s="14"/>
      <c r="N520" s="14"/>
      <c r="O520" s="16"/>
      <c r="P520" s="16"/>
      <c r="Q520" s="16"/>
      <c r="R520" s="16"/>
      <c r="S520" s="16"/>
      <c r="T520" s="16"/>
      <c r="U520" s="16"/>
      <c r="V520" s="16"/>
      <c r="W520" s="16"/>
      <c r="X520" s="16"/>
      <c r="Y520" s="16"/>
      <c r="Z520" s="16"/>
      <c r="AA520" s="16"/>
      <c r="AB520" s="16"/>
      <c r="AC520" s="16"/>
      <c r="AD520" s="16"/>
    </row>
    <row r="521" spans="2:30" ht="15.75" customHeight="1">
      <c r="B521" s="14"/>
      <c r="C521" s="14"/>
      <c r="D521" s="14"/>
      <c r="E521" s="14"/>
      <c r="F521" s="14"/>
      <c r="G521" s="14"/>
      <c r="H521" s="14"/>
      <c r="I521" s="14"/>
      <c r="J521" s="14"/>
      <c r="K521" s="14"/>
      <c r="L521" s="14"/>
      <c r="M521" s="14"/>
      <c r="N521" s="14"/>
      <c r="O521" s="16"/>
      <c r="P521" s="16"/>
      <c r="Q521" s="16"/>
      <c r="R521" s="16"/>
      <c r="S521" s="16"/>
      <c r="T521" s="16"/>
      <c r="U521" s="16"/>
      <c r="V521" s="16"/>
      <c r="W521" s="16"/>
      <c r="X521" s="16"/>
      <c r="Y521" s="16"/>
      <c r="Z521" s="16"/>
      <c r="AA521" s="16"/>
      <c r="AB521" s="16"/>
      <c r="AC521" s="16"/>
      <c r="AD521" s="16"/>
    </row>
    <row r="522" spans="2:30" ht="15.75" customHeight="1">
      <c r="B522" s="14"/>
      <c r="C522" s="14"/>
      <c r="D522" s="14"/>
      <c r="E522" s="14"/>
      <c r="F522" s="14"/>
      <c r="G522" s="14"/>
      <c r="H522" s="14"/>
      <c r="I522" s="14"/>
      <c r="J522" s="14"/>
      <c r="K522" s="14"/>
      <c r="L522" s="14"/>
      <c r="M522" s="14"/>
      <c r="N522" s="14"/>
      <c r="O522" s="16"/>
      <c r="P522" s="16"/>
      <c r="Q522" s="16"/>
      <c r="R522" s="16"/>
      <c r="S522" s="16"/>
      <c r="T522" s="16"/>
      <c r="U522" s="16"/>
      <c r="V522" s="16"/>
      <c r="W522" s="16"/>
      <c r="X522" s="16"/>
      <c r="Y522" s="16"/>
      <c r="Z522" s="16"/>
      <c r="AA522" s="16"/>
      <c r="AB522" s="16"/>
      <c r="AC522" s="16"/>
      <c r="AD522" s="16"/>
    </row>
    <row r="523" spans="2:30" ht="15.75" customHeight="1">
      <c r="B523" s="14"/>
      <c r="C523" s="14"/>
      <c r="D523" s="14"/>
      <c r="E523" s="14"/>
      <c r="F523" s="14"/>
      <c r="G523" s="14"/>
      <c r="H523" s="14"/>
      <c r="I523" s="14"/>
      <c r="J523" s="14"/>
      <c r="K523" s="14"/>
      <c r="L523" s="14"/>
      <c r="M523" s="14"/>
      <c r="N523" s="14"/>
      <c r="O523" s="16"/>
      <c r="P523" s="16"/>
      <c r="Q523" s="16"/>
      <c r="R523" s="16"/>
      <c r="S523" s="16"/>
      <c r="T523" s="16"/>
      <c r="U523" s="16"/>
      <c r="V523" s="16"/>
      <c r="W523" s="16"/>
      <c r="X523" s="16"/>
      <c r="Y523" s="16"/>
      <c r="Z523" s="16"/>
      <c r="AA523" s="16"/>
      <c r="AB523" s="16"/>
      <c r="AC523" s="16"/>
      <c r="AD523" s="16"/>
    </row>
    <row r="524" spans="2:30" ht="15.75" customHeight="1">
      <c r="B524" s="14"/>
      <c r="C524" s="14"/>
      <c r="D524" s="14"/>
      <c r="E524" s="14"/>
      <c r="F524" s="14"/>
      <c r="G524" s="14"/>
      <c r="H524" s="14"/>
      <c r="I524" s="14"/>
      <c r="J524" s="14"/>
      <c r="K524" s="14"/>
      <c r="L524" s="14"/>
      <c r="M524" s="14"/>
      <c r="N524" s="14"/>
      <c r="O524" s="16"/>
      <c r="P524" s="16"/>
      <c r="Q524" s="16"/>
      <c r="R524" s="16"/>
      <c r="S524" s="16"/>
      <c r="T524" s="16"/>
      <c r="U524" s="16"/>
      <c r="V524" s="16"/>
      <c r="W524" s="16"/>
      <c r="X524" s="16"/>
      <c r="Y524" s="16"/>
      <c r="Z524" s="16"/>
      <c r="AA524" s="16"/>
      <c r="AB524" s="16"/>
      <c r="AC524" s="16"/>
      <c r="AD524" s="16"/>
    </row>
    <row r="525" spans="2:30" ht="15.75" customHeight="1">
      <c r="B525" s="14"/>
      <c r="C525" s="14"/>
      <c r="D525" s="14"/>
      <c r="E525" s="14"/>
      <c r="F525" s="14"/>
      <c r="G525" s="14"/>
      <c r="H525" s="14"/>
      <c r="I525" s="14"/>
      <c r="J525" s="14"/>
      <c r="K525" s="14"/>
      <c r="L525" s="14"/>
      <c r="M525" s="14"/>
      <c r="N525" s="14"/>
      <c r="O525" s="16"/>
      <c r="P525" s="16"/>
      <c r="Q525" s="16"/>
      <c r="R525" s="16"/>
      <c r="S525" s="16"/>
      <c r="T525" s="16"/>
      <c r="U525" s="16"/>
      <c r="V525" s="16"/>
      <c r="W525" s="16"/>
      <c r="X525" s="16"/>
      <c r="Y525" s="16"/>
      <c r="Z525" s="16"/>
      <c r="AA525" s="16"/>
      <c r="AB525" s="16"/>
      <c r="AC525" s="16"/>
      <c r="AD525" s="16"/>
    </row>
    <row r="526" spans="2:30" ht="15.75" customHeight="1">
      <c r="B526" s="14"/>
      <c r="C526" s="14"/>
      <c r="D526" s="14"/>
      <c r="E526" s="14"/>
      <c r="F526" s="14"/>
      <c r="G526" s="14"/>
      <c r="H526" s="14"/>
      <c r="I526" s="14"/>
      <c r="J526" s="14"/>
      <c r="K526" s="14"/>
      <c r="L526" s="14"/>
      <c r="M526" s="14"/>
      <c r="N526" s="14"/>
      <c r="O526" s="16"/>
      <c r="P526" s="16"/>
      <c r="Q526" s="16"/>
      <c r="R526" s="16"/>
      <c r="S526" s="16"/>
      <c r="T526" s="16"/>
      <c r="U526" s="16"/>
      <c r="V526" s="16"/>
      <c r="W526" s="16"/>
      <c r="X526" s="16"/>
      <c r="Y526" s="16"/>
      <c r="Z526" s="16"/>
      <c r="AA526" s="16"/>
      <c r="AB526" s="16"/>
      <c r="AC526" s="16"/>
      <c r="AD526" s="16"/>
    </row>
    <row r="527" spans="2:30" ht="15.75" customHeight="1">
      <c r="B527" s="14"/>
      <c r="C527" s="14"/>
      <c r="D527" s="14"/>
      <c r="E527" s="14"/>
      <c r="F527" s="14"/>
      <c r="G527" s="14"/>
      <c r="H527" s="14"/>
      <c r="I527" s="14"/>
      <c r="J527" s="14"/>
      <c r="K527" s="14"/>
      <c r="L527" s="14"/>
      <c r="M527" s="14"/>
      <c r="N527" s="14"/>
      <c r="O527" s="16"/>
      <c r="P527" s="16"/>
      <c r="Q527" s="16"/>
      <c r="R527" s="16"/>
      <c r="S527" s="16"/>
      <c r="T527" s="16"/>
      <c r="U527" s="16"/>
      <c r="V527" s="16"/>
      <c r="W527" s="16"/>
      <c r="X527" s="16"/>
      <c r="Y527" s="16"/>
      <c r="Z527" s="16"/>
      <c r="AA527" s="16"/>
      <c r="AB527" s="16"/>
      <c r="AC527" s="16"/>
      <c r="AD527" s="16"/>
    </row>
    <row r="528" spans="2:30" ht="15.75" customHeight="1">
      <c r="B528" s="14"/>
      <c r="C528" s="14"/>
      <c r="D528" s="14"/>
      <c r="E528" s="14"/>
      <c r="F528" s="14"/>
      <c r="G528" s="14"/>
      <c r="H528" s="14"/>
      <c r="I528" s="14"/>
      <c r="J528" s="14"/>
      <c r="K528" s="14"/>
      <c r="L528" s="14"/>
      <c r="M528" s="14"/>
      <c r="N528" s="14"/>
      <c r="O528" s="16"/>
      <c r="P528" s="16"/>
      <c r="Q528" s="16"/>
      <c r="R528" s="16"/>
      <c r="S528" s="16"/>
      <c r="T528" s="16"/>
      <c r="U528" s="16"/>
      <c r="V528" s="16"/>
      <c r="W528" s="16"/>
      <c r="X528" s="16"/>
      <c r="Y528" s="16"/>
      <c r="Z528" s="16"/>
      <c r="AA528" s="16"/>
      <c r="AB528" s="16"/>
      <c r="AC528" s="16"/>
      <c r="AD528" s="16"/>
    </row>
    <row r="529" spans="2:30" ht="15.75" customHeight="1">
      <c r="B529" s="14"/>
      <c r="C529" s="14"/>
      <c r="D529" s="14"/>
      <c r="E529" s="14"/>
      <c r="F529" s="14"/>
      <c r="G529" s="14"/>
      <c r="H529" s="14"/>
      <c r="I529" s="14"/>
      <c r="J529" s="14"/>
      <c r="K529" s="14"/>
      <c r="L529" s="14"/>
      <c r="M529" s="14"/>
      <c r="N529" s="14"/>
      <c r="O529" s="16"/>
      <c r="P529" s="16"/>
      <c r="Q529" s="16"/>
      <c r="R529" s="16"/>
      <c r="S529" s="16"/>
      <c r="T529" s="16"/>
      <c r="U529" s="16"/>
      <c r="V529" s="16"/>
      <c r="W529" s="16"/>
      <c r="X529" s="16"/>
      <c r="Y529" s="16"/>
      <c r="Z529" s="16"/>
      <c r="AA529" s="16"/>
      <c r="AB529" s="16"/>
      <c r="AC529" s="16"/>
      <c r="AD529" s="16"/>
    </row>
    <row r="530" spans="2:30" ht="15.75" customHeight="1">
      <c r="B530" s="14"/>
      <c r="C530" s="14"/>
      <c r="D530" s="14"/>
      <c r="E530" s="14"/>
      <c r="F530" s="14"/>
      <c r="G530" s="14"/>
      <c r="H530" s="14"/>
      <c r="I530" s="14"/>
      <c r="J530" s="14"/>
      <c r="K530" s="14"/>
      <c r="L530" s="14"/>
      <c r="M530" s="14"/>
      <c r="N530" s="14"/>
      <c r="O530" s="16"/>
      <c r="P530" s="16"/>
      <c r="Q530" s="16"/>
      <c r="R530" s="16"/>
      <c r="S530" s="16"/>
      <c r="T530" s="16"/>
      <c r="U530" s="16"/>
      <c r="V530" s="16"/>
      <c r="W530" s="16"/>
      <c r="X530" s="16"/>
      <c r="Y530" s="16"/>
      <c r="Z530" s="16"/>
      <c r="AA530" s="16"/>
      <c r="AB530" s="16"/>
      <c r="AC530" s="16"/>
      <c r="AD530" s="16"/>
    </row>
    <row r="531" spans="2:30" ht="15.75" customHeight="1">
      <c r="B531" s="14"/>
      <c r="C531" s="14"/>
      <c r="D531" s="14"/>
      <c r="E531" s="14"/>
      <c r="F531" s="14"/>
      <c r="G531" s="14"/>
      <c r="H531" s="14"/>
      <c r="I531" s="14"/>
      <c r="J531" s="14"/>
      <c r="K531" s="14"/>
      <c r="L531" s="14"/>
      <c r="M531" s="14"/>
      <c r="N531" s="14"/>
      <c r="O531" s="16"/>
      <c r="P531" s="16"/>
      <c r="Q531" s="16"/>
      <c r="R531" s="16"/>
      <c r="S531" s="16"/>
      <c r="T531" s="16"/>
      <c r="U531" s="16"/>
      <c r="V531" s="16"/>
      <c r="W531" s="16"/>
      <c r="X531" s="16"/>
      <c r="Y531" s="16"/>
      <c r="Z531" s="16"/>
      <c r="AA531" s="16"/>
      <c r="AB531" s="16"/>
      <c r="AC531" s="16"/>
      <c r="AD531" s="16"/>
    </row>
    <row r="532" spans="2:30" ht="15.75" customHeight="1">
      <c r="B532" s="14"/>
      <c r="C532" s="14"/>
      <c r="D532" s="14"/>
      <c r="E532" s="14"/>
      <c r="F532" s="14"/>
      <c r="G532" s="14"/>
      <c r="H532" s="14"/>
      <c r="I532" s="14"/>
      <c r="J532" s="14"/>
      <c r="K532" s="14"/>
      <c r="L532" s="14"/>
      <c r="M532" s="14"/>
      <c r="N532" s="14"/>
      <c r="O532" s="16"/>
      <c r="P532" s="16"/>
      <c r="Q532" s="16"/>
      <c r="R532" s="16"/>
      <c r="S532" s="16"/>
      <c r="T532" s="16"/>
      <c r="U532" s="16"/>
      <c r="V532" s="16"/>
      <c r="W532" s="16"/>
      <c r="X532" s="16"/>
      <c r="Y532" s="16"/>
      <c r="Z532" s="16"/>
      <c r="AA532" s="16"/>
      <c r="AB532" s="16"/>
      <c r="AC532" s="16"/>
      <c r="AD532" s="16"/>
    </row>
    <row r="533" spans="2:30" ht="15.75" customHeight="1">
      <c r="B533" s="14"/>
      <c r="C533" s="14"/>
      <c r="D533" s="14"/>
      <c r="E533" s="14"/>
      <c r="F533" s="14"/>
      <c r="G533" s="14"/>
      <c r="H533" s="14"/>
      <c r="I533" s="14"/>
      <c r="J533" s="14"/>
      <c r="K533" s="14"/>
      <c r="L533" s="14"/>
      <c r="M533" s="14"/>
      <c r="N533" s="14"/>
      <c r="O533" s="16"/>
      <c r="P533" s="16"/>
      <c r="Q533" s="16"/>
      <c r="R533" s="16"/>
      <c r="S533" s="16"/>
      <c r="T533" s="16"/>
      <c r="U533" s="16"/>
      <c r="V533" s="16"/>
      <c r="W533" s="16"/>
      <c r="X533" s="16"/>
      <c r="Y533" s="16"/>
      <c r="Z533" s="16"/>
      <c r="AA533" s="16"/>
      <c r="AB533" s="16"/>
      <c r="AC533" s="16"/>
      <c r="AD533" s="16"/>
    </row>
    <row r="534" spans="2:30" ht="15.75" customHeight="1">
      <c r="B534" s="14"/>
      <c r="C534" s="14"/>
      <c r="D534" s="14"/>
      <c r="E534" s="14"/>
      <c r="F534" s="14"/>
      <c r="G534" s="14"/>
      <c r="H534" s="14"/>
      <c r="I534" s="14"/>
      <c r="J534" s="14"/>
      <c r="K534" s="14"/>
      <c r="L534" s="14"/>
      <c r="M534" s="14"/>
      <c r="N534" s="14"/>
      <c r="O534" s="16"/>
      <c r="P534" s="16"/>
      <c r="Q534" s="16"/>
      <c r="R534" s="16"/>
      <c r="S534" s="16"/>
      <c r="T534" s="16"/>
      <c r="U534" s="16"/>
      <c r="V534" s="16"/>
      <c r="W534" s="16"/>
      <c r="X534" s="16"/>
      <c r="Y534" s="16"/>
      <c r="Z534" s="16"/>
      <c r="AA534" s="16"/>
      <c r="AB534" s="16"/>
      <c r="AC534" s="16"/>
      <c r="AD534" s="16"/>
    </row>
    <row r="535" spans="2:30" ht="15.75" customHeight="1">
      <c r="B535" s="14"/>
      <c r="C535" s="14"/>
      <c r="D535" s="14"/>
      <c r="E535" s="14"/>
      <c r="F535" s="14"/>
      <c r="G535" s="14"/>
      <c r="H535" s="14"/>
      <c r="I535" s="14"/>
      <c r="J535" s="14"/>
      <c r="K535" s="14"/>
      <c r="L535" s="14"/>
      <c r="M535" s="14"/>
      <c r="N535" s="14"/>
      <c r="O535" s="16"/>
      <c r="P535" s="16"/>
      <c r="Q535" s="16"/>
      <c r="R535" s="16"/>
      <c r="S535" s="16"/>
      <c r="T535" s="16"/>
      <c r="U535" s="16"/>
      <c r="V535" s="16"/>
      <c r="W535" s="16"/>
      <c r="X535" s="16"/>
      <c r="Y535" s="16"/>
      <c r="Z535" s="16"/>
      <c r="AA535" s="16"/>
      <c r="AB535" s="16"/>
      <c r="AC535" s="16"/>
      <c r="AD535" s="16"/>
    </row>
    <row r="536" spans="2:30" ht="15.75" customHeight="1">
      <c r="B536" s="14"/>
      <c r="C536" s="14"/>
      <c r="D536" s="14"/>
      <c r="E536" s="14"/>
      <c r="F536" s="14"/>
      <c r="G536" s="14"/>
      <c r="H536" s="14"/>
      <c r="I536" s="14"/>
      <c r="J536" s="14"/>
      <c r="K536" s="14"/>
      <c r="L536" s="14"/>
      <c r="M536" s="14"/>
      <c r="N536" s="14"/>
      <c r="O536" s="16"/>
      <c r="P536" s="16"/>
      <c r="Q536" s="16"/>
      <c r="R536" s="16"/>
      <c r="S536" s="16"/>
      <c r="T536" s="16"/>
      <c r="U536" s="16"/>
      <c r="V536" s="16"/>
      <c r="W536" s="16"/>
      <c r="X536" s="16"/>
      <c r="Y536" s="16"/>
      <c r="Z536" s="16"/>
      <c r="AA536" s="16"/>
      <c r="AB536" s="16"/>
      <c r="AC536" s="16"/>
      <c r="AD536" s="16"/>
    </row>
    <row r="537" spans="2:30" ht="15.75" customHeight="1">
      <c r="B537" s="14"/>
      <c r="C537" s="14"/>
      <c r="D537" s="14"/>
      <c r="E537" s="14"/>
      <c r="F537" s="14"/>
      <c r="G537" s="14"/>
      <c r="H537" s="14"/>
      <c r="I537" s="14"/>
      <c r="J537" s="14"/>
      <c r="K537" s="14"/>
      <c r="L537" s="14"/>
      <c r="M537" s="14"/>
      <c r="N537" s="14"/>
      <c r="O537" s="16"/>
      <c r="P537" s="16"/>
      <c r="Q537" s="16"/>
      <c r="R537" s="16"/>
      <c r="S537" s="16"/>
      <c r="T537" s="16"/>
      <c r="U537" s="16"/>
      <c r="V537" s="16"/>
      <c r="W537" s="16"/>
      <c r="X537" s="16"/>
      <c r="Y537" s="16"/>
      <c r="Z537" s="16"/>
      <c r="AA537" s="16"/>
      <c r="AB537" s="16"/>
      <c r="AC537" s="16"/>
      <c r="AD537" s="16"/>
    </row>
    <row r="538" spans="2:30" ht="15.75" customHeight="1">
      <c r="B538" s="14"/>
      <c r="C538" s="14"/>
      <c r="D538" s="14"/>
      <c r="E538" s="14"/>
      <c r="F538" s="14"/>
      <c r="G538" s="14"/>
      <c r="H538" s="14"/>
      <c r="I538" s="14"/>
      <c r="J538" s="14"/>
      <c r="K538" s="14"/>
      <c r="L538" s="14"/>
      <c r="M538" s="14"/>
      <c r="N538" s="14"/>
      <c r="O538" s="16"/>
      <c r="P538" s="16"/>
      <c r="Q538" s="16"/>
      <c r="R538" s="16"/>
      <c r="S538" s="16"/>
      <c r="T538" s="16"/>
      <c r="U538" s="16"/>
      <c r="V538" s="16"/>
      <c r="W538" s="16"/>
      <c r="X538" s="16"/>
      <c r="Y538" s="16"/>
      <c r="Z538" s="16"/>
      <c r="AA538" s="16"/>
      <c r="AB538" s="16"/>
      <c r="AC538" s="16"/>
      <c r="AD538" s="16"/>
    </row>
    <row r="539" spans="2:30" ht="15.75" customHeight="1">
      <c r="B539" s="14"/>
      <c r="C539" s="14"/>
      <c r="D539" s="14"/>
      <c r="E539" s="14"/>
      <c r="F539" s="14"/>
      <c r="G539" s="14"/>
      <c r="H539" s="14"/>
      <c r="I539" s="14"/>
      <c r="J539" s="14"/>
      <c r="K539" s="14"/>
      <c r="L539" s="14"/>
      <c r="M539" s="14"/>
      <c r="N539" s="14"/>
      <c r="O539" s="16"/>
      <c r="P539" s="16"/>
      <c r="Q539" s="16"/>
      <c r="R539" s="16"/>
      <c r="S539" s="16"/>
      <c r="T539" s="16"/>
      <c r="U539" s="16"/>
      <c r="V539" s="16"/>
      <c r="W539" s="16"/>
      <c r="X539" s="16"/>
      <c r="Y539" s="16"/>
      <c r="Z539" s="16"/>
      <c r="AA539" s="16"/>
      <c r="AB539" s="16"/>
      <c r="AC539" s="16"/>
      <c r="AD539" s="16"/>
    </row>
    <row r="540" spans="2:30" ht="15.75" customHeight="1">
      <c r="B540" s="14"/>
      <c r="C540" s="14"/>
      <c r="D540" s="14"/>
      <c r="E540" s="14"/>
      <c r="F540" s="14"/>
      <c r="G540" s="14"/>
      <c r="H540" s="14"/>
      <c r="I540" s="14"/>
      <c r="J540" s="14"/>
      <c r="K540" s="14"/>
      <c r="L540" s="14"/>
      <c r="M540" s="14"/>
      <c r="N540" s="14"/>
      <c r="O540" s="16"/>
      <c r="P540" s="16"/>
      <c r="Q540" s="16"/>
      <c r="R540" s="16"/>
      <c r="S540" s="16"/>
      <c r="T540" s="16"/>
      <c r="U540" s="16"/>
      <c r="V540" s="16"/>
      <c r="W540" s="16"/>
      <c r="X540" s="16"/>
      <c r="Y540" s="16"/>
      <c r="Z540" s="16"/>
      <c r="AA540" s="16"/>
      <c r="AB540" s="16"/>
      <c r="AC540" s="16"/>
      <c r="AD540" s="16"/>
    </row>
    <row r="541" spans="2:30" ht="15.75" customHeight="1">
      <c r="B541" s="14"/>
      <c r="C541" s="14"/>
      <c r="D541" s="14"/>
      <c r="E541" s="14"/>
      <c r="F541" s="14"/>
      <c r="G541" s="14"/>
      <c r="H541" s="14"/>
      <c r="I541" s="14"/>
      <c r="J541" s="14"/>
      <c r="K541" s="14"/>
      <c r="L541" s="14"/>
      <c r="M541" s="14"/>
      <c r="N541" s="14"/>
      <c r="O541" s="16"/>
      <c r="P541" s="16"/>
      <c r="Q541" s="16"/>
      <c r="R541" s="16"/>
      <c r="S541" s="16"/>
      <c r="T541" s="16"/>
      <c r="U541" s="16"/>
      <c r="V541" s="16"/>
      <c r="W541" s="16"/>
      <c r="X541" s="16"/>
      <c r="Y541" s="16"/>
      <c r="Z541" s="16"/>
      <c r="AA541" s="16"/>
      <c r="AB541" s="16"/>
      <c r="AC541" s="16"/>
      <c r="AD541" s="16"/>
    </row>
    <row r="542" spans="2:30" ht="15.75" customHeight="1">
      <c r="B542" s="14"/>
      <c r="C542" s="14"/>
      <c r="D542" s="14"/>
      <c r="E542" s="14"/>
      <c r="F542" s="14"/>
      <c r="G542" s="14"/>
      <c r="H542" s="14"/>
      <c r="I542" s="14"/>
      <c r="J542" s="14"/>
      <c r="K542" s="14"/>
      <c r="L542" s="14"/>
      <c r="M542" s="14"/>
      <c r="N542" s="14"/>
      <c r="O542" s="16"/>
      <c r="P542" s="16"/>
      <c r="Q542" s="16"/>
      <c r="R542" s="16"/>
      <c r="S542" s="16"/>
      <c r="T542" s="16"/>
      <c r="U542" s="16"/>
      <c r="V542" s="16"/>
      <c r="W542" s="16"/>
      <c r="X542" s="16"/>
      <c r="Y542" s="16"/>
      <c r="Z542" s="16"/>
      <c r="AA542" s="16"/>
      <c r="AB542" s="16"/>
      <c r="AC542" s="16"/>
      <c r="AD542" s="16"/>
    </row>
    <row r="543" spans="2:30" ht="15.75" customHeight="1">
      <c r="B543" s="14"/>
      <c r="C543" s="14"/>
      <c r="D543" s="14"/>
      <c r="E543" s="14"/>
      <c r="F543" s="14"/>
      <c r="G543" s="14"/>
      <c r="H543" s="14"/>
      <c r="I543" s="14"/>
      <c r="J543" s="14"/>
      <c r="K543" s="14"/>
      <c r="L543" s="14"/>
      <c r="M543" s="14"/>
      <c r="N543" s="14"/>
      <c r="O543" s="16"/>
      <c r="P543" s="16"/>
      <c r="Q543" s="16"/>
      <c r="R543" s="16"/>
      <c r="S543" s="16"/>
      <c r="T543" s="16"/>
      <c r="U543" s="16"/>
      <c r="V543" s="16"/>
      <c r="W543" s="16"/>
      <c r="X543" s="16"/>
      <c r="Y543" s="16"/>
      <c r="Z543" s="16"/>
      <c r="AA543" s="16"/>
      <c r="AB543" s="16"/>
      <c r="AC543" s="16"/>
      <c r="AD543" s="16"/>
    </row>
    <row r="544" spans="2:30" ht="15.75" customHeight="1">
      <c r="B544" s="14"/>
      <c r="C544" s="14"/>
      <c r="D544" s="14"/>
      <c r="E544" s="14"/>
      <c r="F544" s="14"/>
      <c r="G544" s="14"/>
      <c r="H544" s="14"/>
      <c r="I544" s="14"/>
      <c r="J544" s="14"/>
      <c r="K544" s="14"/>
      <c r="L544" s="14"/>
      <c r="M544" s="14"/>
      <c r="N544" s="14"/>
      <c r="O544" s="16"/>
      <c r="P544" s="16"/>
      <c r="Q544" s="16"/>
      <c r="R544" s="16"/>
      <c r="S544" s="16"/>
      <c r="T544" s="16"/>
      <c r="U544" s="16"/>
      <c r="V544" s="16"/>
      <c r="W544" s="16"/>
      <c r="X544" s="16"/>
      <c r="Y544" s="16"/>
      <c r="Z544" s="16"/>
      <c r="AA544" s="16"/>
      <c r="AB544" s="16"/>
      <c r="AC544" s="16"/>
      <c r="AD544" s="16"/>
    </row>
    <row r="545" spans="2:30" ht="15.75" customHeight="1">
      <c r="B545" s="14"/>
      <c r="C545" s="14"/>
      <c r="D545" s="14"/>
      <c r="E545" s="14"/>
      <c r="F545" s="14"/>
      <c r="G545" s="14"/>
      <c r="H545" s="14"/>
      <c r="I545" s="14"/>
      <c r="J545" s="14"/>
      <c r="K545" s="14"/>
      <c r="L545" s="14"/>
      <c r="M545" s="14"/>
      <c r="N545" s="14"/>
      <c r="O545" s="16"/>
      <c r="P545" s="16"/>
      <c r="Q545" s="16"/>
      <c r="R545" s="16"/>
      <c r="S545" s="16"/>
      <c r="T545" s="16"/>
      <c r="U545" s="16"/>
      <c r="V545" s="16"/>
      <c r="W545" s="16"/>
      <c r="X545" s="16"/>
      <c r="Y545" s="16"/>
      <c r="Z545" s="16"/>
      <c r="AA545" s="16"/>
      <c r="AB545" s="16"/>
      <c r="AC545" s="16"/>
      <c r="AD545" s="16"/>
    </row>
    <row r="546" spans="2:30" ht="15.75" customHeight="1">
      <c r="B546" s="14"/>
      <c r="C546" s="14"/>
      <c r="D546" s="14"/>
      <c r="E546" s="14"/>
      <c r="F546" s="14"/>
      <c r="G546" s="14"/>
      <c r="H546" s="14"/>
      <c r="I546" s="14"/>
      <c r="J546" s="14"/>
      <c r="K546" s="14"/>
      <c r="L546" s="14"/>
      <c r="M546" s="14"/>
      <c r="N546" s="14"/>
      <c r="O546" s="16"/>
      <c r="P546" s="16"/>
      <c r="Q546" s="16"/>
      <c r="R546" s="16"/>
      <c r="S546" s="16"/>
      <c r="T546" s="16"/>
      <c r="U546" s="16"/>
      <c r="V546" s="16"/>
      <c r="W546" s="16"/>
      <c r="X546" s="16"/>
      <c r="Y546" s="16"/>
      <c r="Z546" s="16"/>
      <c r="AA546" s="16"/>
      <c r="AB546" s="16"/>
      <c r="AC546" s="16"/>
      <c r="AD546" s="16"/>
    </row>
    <row r="547" spans="2:30" ht="15.75" customHeight="1">
      <c r="B547" s="14"/>
      <c r="C547" s="14"/>
      <c r="D547" s="14"/>
      <c r="E547" s="14"/>
      <c r="F547" s="14"/>
      <c r="G547" s="14"/>
      <c r="H547" s="14"/>
      <c r="I547" s="14"/>
      <c r="J547" s="14"/>
      <c r="K547" s="14"/>
      <c r="L547" s="14"/>
      <c r="M547" s="14"/>
      <c r="N547" s="14"/>
      <c r="O547" s="16"/>
      <c r="P547" s="16"/>
      <c r="Q547" s="16"/>
      <c r="R547" s="16"/>
      <c r="S547" s="16"/>
      <c r="T547" s="16"/>
      <c r="U547" s="16"/>
      <c r="V547" s="16"/>
      <c r="W547" s="16"/>
      <c r="X547" s="16"/>
      <c r="Y547" s="16"/>
      <c r="Z547" s="16"/>
      <c r="AA547" s="16"/>
      <c r="AB547" s="16"/>
      <c r="AC547" s="16"/>
      <c r="AD547" s="16"/>
    </row>
    <row r="548" spans="2:30" ht="15.75" customHeight="1">
      <c r="B548" s="14"/>
      <c r="C548" s="14"/>
      <c r="D548" s="14"/>
      <c r="E548" s="14"/>
      <c r="F548" s="14"/>
      <c r="G548" s="14"/>
      <c r="H548" s="14"/>
      <c r="I548" s="14"/>
      <c r="J548" s="14"/>
      <c r="K548" s="14"/>
      <c r="L548" s="14"/>
      <c r="M548" s="14"/>
      <c r="N548" s="14"/>
      <c r="O548" s="16"/>
      <c r="P548" s="16"/>
      <c r="Q548" s="16"/>
      <c r="R548" s="16"/>
      <c r="S548" s="16"/>
      <c r="T548" s="16"/>
      <c r="U548" s="16"/>
      <c r="V548" s="16"/>
      <c r="W548" s="16"/>
      <c r="X548" s="16"/>
      <c r="Y548" s="16"/>
      <c r="Z548" s="16"/>
      <c r="AA548" s="16"/>
      <c r="AB548" s="16"/>
      <c r="AC548" s="16"/>
      <c r="AD548" s="16"/>
    </row>
    <row r="549" spans="2:30" ht="15.75" customHeight="1">
      <c r="B549" s="14"/>
      <c r="C549" s="14"/>
      <c r="D549" s="14"/>
      <c r="E549" s="14"/>
      <c r="F549" s="14"/>
      <c r="G549" s="14"/>
      <c r="H549" s="14"/>
      <c r="I549" s="14"/>
      <c r="J549" s="14"/>
      <c r="K549" s="14"/>
      <c r="L549" s="14"/>
      <c r="M549" s="14"/>
      <c r="N549" s="14"/>
      <c r="O549" s="16"/>
      <c r="P549" s="16"/>
      <c r="Q549" s="16"/>
      <c r="R549" s="16"/>
      <c r="S549" s="16"/>
      <c r="T549" s="16"/>
      <c r="U549" s="16"/>
      <c r="V549" s="16"/>
      <c r="W549" s="16"/>
      <c r="X549" s="16"/>
      <c r="Y549" s="16"/>
      <c r="Z549" s="16"/>
      <c r="AA549" s="16"/>
      <c r="AB549" s="16"/>
      <c r="AC549" s="16"/>
      <c r="AD549" s="16"/>
    </row>
    <row r="550" spans="2:30" ht="15.75" customHeight="1">
      <c r="B550" s="14"/>
      <c r="C550" s="14"/>
      <c r="D550" s="14"/>
      <c r="E550" s="14"/>
      <c r="F550" s="14"/>
      <c r="G550" s="14"/>
      <c r="H550" s="14"/>
      <c r="I550" s="14"/>
      <c r="J550" s="14"/>
      <c r="K550" s="14"/>
      <c r="L550" s="14"/>
      <c r="M550" s="14"/>
      <c r="N550" s="14"/>
      <c r="O550" s="16"/>
      <c r="P550" s="16"/>
      <c r="Q550" s="16"/>
      <c r="R550" s="16"/>
      <c r="S550" s="16"/>
      <c r="T550" s="16"/>
      <c r="U550" s="16"/>
      <c r="V550" s="16"/>
      <c r="W550" s="16"/>
      <c r="X550" s="16"/>
      <c r="Y550" s="16"/>
      <c r="Z550" s="16"/>
      <c r="AA550" s="16"/>
      <c r="AB550" s="16"/>
      <c r="AC550" s="16"/>
      <c r="AD550" s="16"/>
    </row>
    <row r="551" spans="2:30" ht="15.75" customHeight="1">
      <c r="B551" s="14"/>
      <c r="C551" s="14"/>
      <c r="D551" s="14"/>
      <c r="E551" s="14"/>
      <c r="F551" s="14"/>
      <c r="G551" s="14"/>
      <c r="H551" s="14"/>
      <c r="I551" s="14"/>
      <c r="J551" s="14"/>
      <c r="K551" s="14"/>
      <c r="L551" s="14"/>
      <c r="M551" s="14"/>
      <c r="N551" s="14"/>
      <c r="O551" s="16"/>
      <c r="P551" s="16"/>
      <c r="Q551" s="16"/>
      <c r="R551" s="16"/>
      <c r="S551" s="16"/>
      <c r="T551" s="16"/>
      <c r="U551" s="16"/>
      <c r="V551" s="16"/>
      <c r="W551" s="16"/>
      <c r="X551" s="16"/>
      <c r="Y551" s="16"/>
      <c r="Z551" s="16"/>
      <c r="AA551" s="16"/>
      <c r="AB551" s="16"/>
      <c r="AC551" s="16"/>
      <c r="AD551" s="16"/>
    </row>
    <row r="552" spans="2:30" ht="15.75" customHeight="1">
      <c r="B552" s="14"/>
      <c r="C552" s="14"/>
      <c r="D552" s="14"/>
      <c r="E552" s="14"/>
      <c r="F552" s="14"/>
      <c r="G552" s="14"/>
      <c r="H552" s="14"/>
      <c r="I552" s="14"/>
      <c r="J552" s="14"/>
      <c r="K552" s="14"/>
      <c r="L552" s="14"/>
      <c r="M552" s="14"/>
      <c r="N552" s="14"/>
      <c r="O552" s="16"/>
      <c r="P552" s="16"/>
      <c r="Q552" s="16"/>
      <c r="R552" s="16"/>
      <c r="S552" s="16"/>
      <c r="T552" s="16"/>
      <c r="U552" s="16"/>
      <c r="V552" s="16"/>
      <c r="W552" s="16"/>
      <c r="X552" s="16"/>
      <c r="Y552" s="16"/>
      <c r="Z552" s="16"/>
      <c r="AA552" s="16"/>
      <c r="AB552" s="16"/>
      <c r="AC552" s="16"/>
      <c r="AD552" s="16"/>
    </row>
    <row r="553" spans="2:30" ht="15.75" customHeight="1">
      <c r="B553" s="14"/>
      <c r="C553" s="14"/>
      <c r="D553" s="14"/>
      <c r="E553" s="14"/>
      <c r="F553" s="14"/>
      <c r="G553" s="14"/>
      <c r="H553" s="14"/>
      <c r="I553" s="14"/>
      <c r="J553" s="14"/>
      <c r="K553" s="14"/>
      <c r="L553" s="14"/>
      <c r="M553" s="14"/>
      <c r="N553" s="14"/>
      <c r="O553" s="16"/>
      <c r="P553" s="16"/>
      <c r="Q553" s="16"/>
      <c r="R553" s="16"/>
      <c r="S553" s="16"/>
      <c r="T553" s="16"/>
      <c r="U553" s="16"/>
      <c r="V553" s="16"/>
      <c r="W553" s="16"/>
      <c r="X553" s="16"/>
      <c r="Y553" s="16"/>
      <c r="Z553" s="16"/>
      <c r="AA553" s="16"/>
      <c r="AB553" s="16"/>
      <c r="AC553" s="16"/>
      <c r="AD553" s="16"/>
    </row>
    <row r="554" spans="2:30" ht="15.75" customHeight="1">
      <c r="B554" s="14"/>
      <c r="C554" s="14"/>
      <c r="D554" s="14"/>
      <c r="E554" s="14"/>
      <c r="F554" s="14"/>
      <c r="G554" s="14"/>
      <c r="H554" s="14"/>
      <c r="I554" s="14"/>
      <c r="J554" s="14"/>
      <c r="K554" s="14"/>
      <c r="L554" s="14"/>
      <c r="M554" s="14"/>
      <c r="N554" s="14"/>
      <c r="O554" s="16"/>
      <c r="P554" s="16"/>
      <c r="Q554" s="16"/>
      <c r="R554" s="16"/>
      <c r="S554" s="16"/>
      <c r="T554" s="16"/>
      <c r="U554" s="16"/>
      <c r="V554" s="16"/>
      <c r="W554" s="16"/>
      <c r="X554" s="16"/>
      <c r="Y554" s="16"/>
      <c r="Z554" s="16"/>
      <c r="AA554" s="16"/>
      <c r="AB554" s="16"/>
      <c r="AC554" s="16"/>
      <c r="AD554" s="16"/>
    </row>
    <row r="555" spans="2:30" ht="15.75" customHeight="1">
      <c r="B555" s="14"/>
      <c r="C555" s="14"/>
      <c r="D555" s="14"/>
      <c r="E555" s="14"/>
      <c r="F555" s="14"/>
      <c r="G555" s="14"/>
      <c r="H555" s="14"/>
      <c r="I555" s="14"/>
      <c r="J555" s="14"/>
      <c r="K555" s="14"/>
      <c r="L555" s="14"/>
      <c r="M555" s="14"/>
      <c r="N555" s="14"/>
      <c r="O555" s="16"/>
      <c r="P555" s="16"/>
      <c r="Q555" s="16"/>
      <c r="R555" s="16"/>
      <c r="S555" s="16"/>
      <c r="T555" s="16"/>
      <c r="U555" s="16"/>
      <c r="V555" s="16"/>
      <c r="W555" s="16"/>
      <c r="X555" s="16"/>
      <c r="Y555" s="16"/>
      <c r="Z555" s="16"/>
      <c r="AA555" s="16"/>
      <c r="AB555" s="16"/>
      <c r="AC555" s="16"/>
      <c r="AD555" s="16"/>
    </row>
    <row r="556" spans="2:30" ht="15.75" customHeight="1">
      <c r="B556" s="14"/>
      <c r="C556" s="14"/>
      <c r="D556" s="14"/>
      <c r="E556" s="14"/>
      <c r="F556" s="14"/>
      <c r="G556" s="14"/>
      <c r="H556" s="14"/>
      <c r="I556" s="14"/>
      <c r="J556" s="14"/>
      <c r="K556" s="14"/>
      <c r="L556" s="14"/>
      <c r="M556" s="14"/>
      <c r="N556" s="14"/>
      <c r="O556" s="16"/>
      <c r="P556" s="16"/>
      <c r="Q556" s="16"/>
      <c r="R556" s="16"/>
      <c r="S556" s="16"/>
      <c r="T556" s="16"/>
      <c r="U556" s="16"/>
      <c r="V556" s="16"/>
      <c r="W556" s="16"/>
      <c r="X556" s="16"/>
      <c r="Y556" s="16"/>
      <c r="Z556" s="16"/>
      <c r="AA556" s="16"/>
      <c r="AB556" s="16"/>
      <c r="AC556" s="16"/>
      <c r="AD556" s="16"/>
    </row>
    <row r="557" spans="2:30" ht="15.75" customHeight="1">
      <c r="B557" s="14"/>
      <c r="C557" s="14"/>
      <c r="D557" s="14"/>
      <c r="E557" s="14"/>
      <c r="F557" s="14"/>
      <c r="G557" s="14"/>
      <c r="H557" s="14"/>
      <c r="I557" s="14"/>
      <c r="J557" s="14"/>
      <c r="K557" s="14"/>
      <c r="L557" s="14"/>
      <c r="M557" s="14"/>
      <c r="N557" s="14"/>
      <c r="O557" s="16"/>
      <c r="P557" s="16"/>
      <c r="Q557" s="16"/>
      <c r="R557" s="16"/>
      <c r="S557" s="16"/>
      <c r="T557" s="16"/>
      <c r="U557" s="16"/>
      <c r="V557" s="16"/>
      <c r="W557" s="16"/>
      <c r="X557" s="16"/>
      <c r="Y557" s="16"/>
      <c r="Z557" s="16"/>
      <c r="AA557" s="16"/>
      <c r="AB557" s="16"/>
      <c r="AC557" s="16"/>
      <c r="AD557" s="16"/>
    </row>
    <row r="558" spans="2:30" ht="15.75" customHeight="1">
      <c r="B558" s="14"/>
      <c r="C558" s="14"/>
      <c r="D558" s="14"/>
      <c r="E558" s="14"/>
      <c r="F558" s="14"/>
      <c r="G558" s="14"/>
      <c r="H558" s="14"/>
      <c r="I558" s="14"/>
      <c r="J558" s="14"/>
      <c r="K558" s="14"/>
      <c r="L558" s="14"/>
      <c r="M558" s="14"/>
      <c r="N558" s="14"/>
      <c r="O558" s="16"/>
      <c r="P558" s="16"/>
      <c r="Q558" s="16"/>
      <c r="R558" s="16"/>
      <c r="S558" s="16"/>
      <c r="T558" s="16"/>
      <c r="U558" s="16"/>
      <c r="V558" s="16"/>
      <c r="W558" s="16"/>
      <c r="X558" s="16"/>
      <c r="Y558" s="16"/>
      <c r="Z558" s="16"/>
      <c r="AA558" s="16"/>
      <c r="AB558" s="16"/>
      <c r="AC558" s="16"/>
      <c r="AD558" s="16"/>
    </row>
    <row r="559" spans="2:30" ht="15.75" customHeight="1">
      <c r="B559" s="14"/>
      <c r="C559" s="14"/>
      <c r="D559" s="14"/>
      <c r="E559" s="14"/>
      <c r="F559" s="14"/>
      <c r="G559" s="14"/>
      <c r="H559" s="14"/>
      <c r="I559" s="14"/>
      <c r="J559" s="14"/>
      <c r="K559" s="14"/>
      <c r="L559" s="14"/>
      <c r="M559" s="14"/>
      <c r="N559" s="14"/>
      <c r="O559" s="16"/>
      <c r="P559" s="16"/>
      <c r="Q559" s="16"/>
      <c r="R559" s="16"/>
      <c r="S559" s="16"/>
      <c r="T559" s="16"/>
      <c r="U559" s="16"/>
      <c r="V559" s="16"/>
      <c r="W559" s="16"/>
      <c r="X559" s="16"/>
      <c r="Y559" s="16"/>
      <c r="Z559" s="16"/>
      <c r="AA559" s="16"/>
      <c r="AB559" s="16"/>
      <c r="AC559" s="16"/>
      <c r="AD559" s="16"/>
    </row>
    <row r="560" spans="2:30" ht="15.75" customHeight="1">
      <c r="B560" s="14"/>
      <c r="C560" s="14"/>
      <c r="D560" s="14"/>
      <c r="E560" s="14"/>
      <c r="F560" s="14"/>
      <c r="G560" s="14"/>
      <c r="H560" s="14"/>
      <c r="I560" s="14"/>
      <c r="J560" s="14"/>
      <c r="K560" s="14"/>
      <c r="L560" s="14"/>
      <c r="M560" s="14"/>
      <c r="N560" s="14"/>
      <c r="O560" s="16"/>
      <c r="P560" s="16"/>
      <c r="Q560" s="16"/>
      <c r="R560" s="16"/>
      <c r="S560" s="16"/>
      <c r="T560" s="16"/>
      <c r="U560" s="16"/>
      <c r="V560" s="16"/>
      <c r="W560" s="16"/>
      <c r="X560" s="16"/>
      <c r="Y560" s="16"/>
      <c r="Z560" s="16"/>
      <c r="AA560" s="16"/>
      <c r="AB560" s="16"/>
      <c r="AC560" s="16"/>
      <c r="AD560" s="16"/>
    </row>
    <row r="561" spans="2:30" ht="15.75" customHeight="1">
      <c r="B561" s="14"/>
      <c r="C561" s="14"/>
      <c r="D561" s="14"/>
      <c r="E561" s="14"/>
      <c r="F561" s="14"/>
      <c r="G561" s="14"/>
      <c r="H561" s="14"/>
      <c r="I561" s="14"/>
      <c r="J561" s="14"/>
      <c r="K561" s="14"/>
      <c r="L561" s="14"/>
      <c r="M561" s="14"/>
      <c r="N561" s="14"/>
      <c r="O561" s="16"/>
      <c r="P561" s="16"/>
      <c r="Q561" s="16"/>
      <c r="R561" s="16"/>
      <c r="S561" s="16"/>
      <c r="T561" s="16"/>
      <c r="U561" s="16"/>
      <c r="V561" s="16"/>
      <c r="W561" s="16"/>
      <c r="X561" s="16"/>
      <c r="Y561" s="16"/>
      <c r="Z561" s="16"/>
      <c r="AA561" s="16"/>
      <c r="AB561" s="16"/>
      <c r="AC561" s="16"/>
      <c r="AD561" s="16"/>
    </row>
    <row r="562" spans="2:30" ht="15.75" customHeight="1">
      <c r="B562" s="14"/>
      <c r="C562" s="14"/>
      <c r="D562" s="14"/>
      <c r="E562" s="14"/>
      <c r="F562" s="14"/>
      <c r="G562" s="14"/>
      <c r="H562" s="14"/>
      <c r="I562" s="14"/>
      <c r="J562" s="14"/>
      <c r="K562" s="14"/>
      <c r="L562" s="14"/>
      <c r="M562" s="14"/>
      <c r="N562" s="14"/>
      <c r="O562" s="16"/>
      <c r="P562" s="16"/>
      <c r="Q562" s="16"/>
      <c r="R562" s="16"/>
      <c r="S562" s="16"/>
      <c r="T562" s="16"/>
      <c r="U562" s="16"/>
      <c r="V562" s="16"/>
      <c r="W562" s="16"/>
      <c r="X562" s="16"/>
      <c r="Y562" s="16"/>
      <c r="Z562" s="16"/>
      <c r="AA562" s="16"/>
      <c r="AB562" s="16"/>
      <c r="AC562" s="16"/>
      <c r="AD562" s="16"/>
    </row>
    <row r="563" spans="2:30" ht="15.75" customHeight="1">
      <c r="B563" s="14"/>
      <c r="C563" s="14"/>
      <c r="D563" s="14"/>
      <c r="E563" s="14"/>
      <c r="F563" s="14"/>
      <c r="G563" s="14"/>
      <c r="H563" s="14"/>
      <c r="I563" s="14"/>
      <c r="J563" s="14"/>
      <c r="K563" s="14"/>
      <c r="L563" s="14"/>
      <c r="M563" s="14"/>
      <c r="N563" s="14"/>
      <c r="O563" s="16"/>
      <c r="P563" s="16"/>
      <c r="Q563" s="16"/>
      <c r="R563" s="16"/>
      <c r="S563" s="16"/>
      <c r="T563" s="16"/>
      <c r="U563" s="16"/>
      <c r="V563" s="16"/>
      <c r="W563" s="16"/>
      <c r="X563" s="16"/>
      <c r="Y563" s="16"/>
      <c r="Z563" s="16"/>
      <c r="AA563" s="16"/>
      <c r="AB563" s="16"/>
      <c r="AC563" s="16"/>
      <c r="AD563" s="16"/>
    </row>
    <row r="564" spans="2:30" ht="15.75" customHeight="1">
      <c r="B564" s="14"/>
      <c r="C564" s="14"/>
      <c r="D564" s="14"/>
      <c r="E564" s="14"/>
      <c r="F564" s="14"/>
      <c r="G564" s="14"/>
      <c r="H564" s="14"/>
      <c r="I564" s="14"/>
      <c r="J564" s="14"/>
      <c r="K564" s="14"/>
      <c r="L564" s="14"/>
      <c r="M564" s="14"/>
      <c r="N564" s="14"/>
      <c r="O564" s="16"/>
      <c r="P564" s="16"/>
      <c r="Q564" s="16"/>
      <c r="R564" s="16"/>
      <c r="S564" s="16"/>
      <c r="T564" s="16"/>
      <c r="U564" s="16"/>
      <c r="V564" s="16"/>
      <c r="W564" s="16"/>
      <c r="X564" s="16"/>
      <c r="Y564" s="16"/>
      <c r="Z564" s="16"/>
      <c r="AA564" s="16"/>
      <c r="AB564" s="16"/>
      <c r="AC564" s="16"/>
      <c r="AD564" s="16"/>
    </row>
    <row r="565" spans="2:30" ht="15.75" customHeight="1">
      <c r="B565" s="14"/>
      <c r="C565" s="14"/>
      <c r="D565" s="14"/>
      <c r="E565" s="14"/>
      <c r="F565" s="14"/>
      <c r="G565" s="14"/>
      <c r="H565" s="14"/>
      <c r="I565" s="14"/>
      <c r="J565" s="14"/>
      <c r="K565" s="14"/>
      <c r="L565" s="14"/>
      <c r="M565" s="14"/>
      <c r="N565" s="14"/>
      <c r="O565" s="16"/>
      <c r="P565" s="16"/>
      <c r="Q565" s="16"/>
      <c r="R565" s="16"/>
      <c r="S565" s="16"/>
      <c r="T565" s="16"/>
      <c r="U565" s="16"/>
      <c r="V565" s="16"/>
      <c r="W565" s="16"/>
      <c r="X565" s="16"/>
      <c r="Y565" s="16"/>
      <c r="Z565" s="16"/>
      <c r="AA565" s="16"/>
      <c r="AB565" s="16"/>
      <c r="AC565" s="16"/>
      <c r="AD565" s="16"/>
    </row>
    <row r="566" spans="2:30" ht="15.75" customHeight="1">
      <c r="B566" s="14"/>
      <c r="C566" s="14"/>
      <c r="D566" s="14"/>
      <c r="E566" s="14"/>
      <c r="F566" s="14"/>
      <c r="G566" s="14"/>
      <c r="H566" s="14"/>
      <c r="I566" s="14"/>
      <c r="J566" s="14"/>
      <c r="K566" s="14"/>
      <c r="L566" s="14"/>
      <c r="M566" s="14"/>
      <c r="N566" s="14"/>
      <c r="O566" s="16"/>
      <c r="P566" s="16"/>
      <c r="Q566" s="16"/>
      <c r="R566" s="16"/>
      <c r="S566" s="16"/>
      <c r="T566" s="16"/>
      <c r="U566" s="16"/>
      <c r="V566" s="16"/>
      <c r="W566" s="16"/>
      <c r="X566" s="16"/>
      <c r="Y566" s="16"/>
      <c r="Z566" s="16"/>
      <c r="AA566" s="16"/>
      <c r="AB566" s="16"/>
      <c r="AC566" s="16"/>
      <c r="AD566" s="16"/>
    </row>
    <row r="567" spans="2:30" ht="15.75" customHeight="1">
      <c r="B567" s="14"/>
      <c r="C567" s="14"/>
      <c r="D567" s="14"/>
      <c r="E567" s="14"/>
      <c r="F567" s="14"/>
      <c r="G567" s="14"/>
      <c r="H567" s="14"/>
      <c r="I567" s="14"/>
      <c r="J567" s="14"/>
      <c r="K567" s="14"/>
      <c r="L567" s="14"/>
      <c r="M567" s="14"/>
      <c r="N567" s="14"/>
      <c r="O567" s="16"/>
      <c r="P567" s="16"/>
      <c r="Q567" s="16"/>
      <c r="R567" s="16"/>
      <c r="S567" s="16"/>
      <c r="T567" s="16"/>
      <c r="U567" s="16"/>
      <c r="V567" s="16"/>
      <c r="W567" s="16"/>
      <c r="X567" s="16"/>
      <c r="Y567" s="16"/>
      <c r="Z567" s="16"/>
      <c r="AA567" s="16"/>
      <c r="AB567" s="16"/>
      <c r="AC567" s="16"/>
      <c r="AD567" s="16"/>
    </row>
    <row r="568" spans="2:30" ht="15.75" customHeight="1">
      <c r="B568" s="14"/>
      <c r="C568" s="14"/>
      <c r="D568" s="14"/>
      <c r="E568" s="14"/>
      <c r="F568" s="14"/>
      <c r="G568" s="14"/>
      <c r="H568" s="14"/>
      <c r="I568" s="14"/>
      <c r="J568" s="14"/>
      <c r="K568" s="14"/>
      <c r="L568" s="14"/>
      <c r="M568" s="14"/>
      <c r="N568" s="14"/>
      <c r="O568" s="16"/>
      <c r="P568" s="16"/>
      <c r="Q568" s="16"/>
      <c r="R568" s="16"/>
      <c r="S568" s="16"/>
      <c r="T568" s="16"/>
      <c r="U568" s="16"/>
      <c r="V568" s="16"/>
      <c r="W568" s="16"/>
      <c r="X568" s="16"/>
      <c r="Y568" s="16"/>
      <c r="Z568" s="16"/>
      <c r="AA568" s="16"/>
      <c r="AB568" s="16"/>
      <c r="AC568" s="16"/>
      <c r="AD568" s="16"/>
    </row>
    <row r="569" spans="2:30" ht="15.75" customHeight="1">
      <c r="B569" s="14"/>
      <c r="C569" s="14"/>
      <c r="D569" s="14"/>
      <c r="E569" s="14"/>
      <c r="F569" s="14"/>
      <c r="G569" s="14"/>
      <c r="H569" s="14"/>
      <c r="I569" s="14"/>
      <c r="J569" s="14"/>
      <c r="K569" s="14"/>
      <c r="L569" s="14"/>
      <c r="M569" s="14"/>
      <c r="N569" s="14"/>
      <c r="O569" s="16"/>
      <c r="P569" s="16"/>
      <c r="Q569" s="16"/>
      <c r="R569" s="16"/>
      <c r="S569" s="16"/>
      <c r="T569" s="16"/>
      <c r="U569" s="16"/>
      <c r="V569" s="16"/>
      <c r="W569" s="16"/>
      <c r="X569" s="16"/>
      <c r="Y569" s="16"/>
      <c r="Z569" s="16"/>
      <c r="AA569" s="16"/>
      <c r="AB569" s="16"/>
      <c r="AC569" s="16"/>
      <c r="AD569" s="16"/>
    </row>
    <row r="570" spans="2:30" ht="15.75" customHeight="1">
      <c r="B570" s="14"/>
      <c r="C570" s="14"/>
      <c r="D570" s="14"/>
      <c r="E570" s="14"/>
      <c r="F570" s="14"/>
      <c r="G570" s="14"/>
      <c r="H570" s="14"/>
      <c r="I570" s="14"/>
      <c r="J570" s="14"/>
      <c r="K570" s="14"/>
      <c r="L570" s="14"/>
      <c r="M570" s="14"/>
      <c r="N570" s="14"/>
      <c r="O570" s="16"/>
      <c r="P570" s="16"/>
      <c r="Q570" s="16"/>
      <c r="R570" s="16"/>
      <c r="S570" s="16"/>
      <c r="T570" s="16"/>
      <c r="U570" s="16"/>
      <c r="V570" s="16"/>
      <c r="W570" s="16"/>
      <c r="X570" s="16"/>
      <c r="Y570" s="16"/>
      <c r="Z570" s="16"/>
      <c r="AA570" s="16"/>
      <c r="AB570" s="16"/>
      <c r="AC570" s="16"/>
      <c r="AD570" s="16"/>
    </row>
    <row r="571" spans="2:30" ht="15.75" customHeight="1">
      <c r="B571" s="14"/>
      <c r="C571" s="14"/>
      <c r="D571" s="14"/>
      <c r="E571" s="14"/>
      <c r="F571" s="14"/>
      <c r="G571" s="14"/>
      <c r="H571" s="14"/>
      <c r="I571" s="14"/>
      <c r="J571" s="14"/>
      <c r="K571" s="14"/>
      <c r="L571" s="14"/>
      <c r="M571" s="14"/>
      <c r="N571" s="14"/>
      <c r="O571" s="16"/>
      <c r="P571" s="16"/>
      <c r="Q571" s="16"/>
      <c r="R571" s="16"/>
      <c r="S571" s="16"/>
      <c r="T571" s="16"/>
      <c r="U571" s="16"/>
      <c r="V571" s="16"/>
      <c r="W571" s="16"/>
      <c r="X571" s="16"/>
      <c r="Y571" s="16"/>
      <c r="Z571" s="16"/>
      <c r="AA571" s="16"/>
      <c r="AB571" s="16"/>
      <c r="AC571" s="16"/>
      <c r="AD571" s="16"/>
    </row>
    <row r="572" spans="2:30" ht="15.75" customHeight="1">
      <c r="B572" s="14"/>
      <c r="C572" s="14"/>
      <c r="D572" s="14"/>
      <c r="E572" s="14"/>
      <c r="F572" s="14"/>
      <c r="G572" s="14"/>
      <c r="H572" s="14"/>
      <c r="I572" s="14"/>
      <c r="J572" s="14"/>
      <c r="K572" s="14"/>
      <c r="L572" s="14"/>
      <c r="M572" s="14"/>
      <c r="N572" s="14"/>
      <c r="O572" s="16"/>
      <c r="P572" s="16"/>
      <c r="Q572" s="16"/>
      <c r="R572" s="16"/>
      <c r="S572" s="16"/>
      <c r="T572" s="16"/>
      <c r="U572" s="16"/>
      <c r="V572" s="16"/>
      <c r="W572" s="16"/>
      <c r="X572" s="16"/>
      <c r="Y572" s="16"/>
      <c r="Z572" s="16"/>
      <c r="AA572" s="16"/>
      <c r="AB572" s="16"/>
      <c r="AC572" s="16"/>
      <c r="AD572" s="16"/>
    </row>
    <row r="573" spans="2:30" ht="15.75" customHeight="1">
      <c r="B573" s="14"/>
      <c r="C573" s="14"/>
      <c r="D573" s="14"/>
      <c r="E573" s="14"/>
      <c r="F573" s="14"/>
      <c r="G573" s="14"/>
      <c r="H573" s="14"/>
      <c r="I573" s="14"/>
      <c r="J573" s="14"/>
      <c r="K573" s="14"/>
      <c r="L573" s="14"/>
      <c r="M573" s="14"/>
      <c r="N573" s="14"/>
      <c r="O573" s="16"/>
      <c r="P573" s="16"/>
      <c r="Q573" s="16"/>
      <c r="R573" s="16"/>
      <c r="S573" s="16"/>
      <c r="T573" s="16"/>
      <c r="U573" s="16"/>
      <c r="V573" s="16"/>
      <c r="W573" s="16"/>
      <c r="X573" s="16"/>
      <c r="Y573" s="16"/>
      <c r="Z573" s="16"/>
      <c r="AA573" s="16"/>
      <c r="AB573" s="16"/>
      <c r="AC573" s="16"/>
      <c r="AD573" s="16"/>
    </row>
    <row r="574" spans="2:30" ht="15.75" customHeight="1">
      <c r="B574" s="14"/>
      <c r="C574" s="14"/>
      <c r="D574" s="14"/>
      <c r="E574" s="14"/>
      <c r="F574" s="14"/>
      <c r="G574" s="14"/>
      <c r="H574" s="14"/>
      <c r="I574" s="14"/>
      <c r="J574" s="14"/>
      <c r="K574" s="14"/>
      <c r="L574" s="14"/>
      <c r="M574" s="14"/>
      <c r="N574" s="14"/>
      <c r="O574" s="16"/>
      <c r="P574" s="16"/>
      <c r="Q574" s="16"/>
      <c r="R574" s="16"/>
      <c r="S574" s="16"/>
      <c r="T574" s="16"/>
      <c r="U574" s="16"/>
      <c r="V574" s="16"/>
      <c r="W574" s="16"/>
      <c r="X574" s="16"/>
      <c r="Y574" s="16"/>
      <c r="Z574" s="16"/>
      <c r="AA574" s="16"/>
      <c r="AB574" s="16"/>
      <c r="AC574" s="16"/>
      <c r="AD574" s="16"/>
    </row>
    <row r="575" spans="2:30" ht="15.75" customHeight="1">
      <c r="B575" s="14"/>
      <c r="C575" s="14"/>
      <c r="D575" s="14"/>
      <c r="E575" s="14"/>
      <c r="F575" s="14"/>
      <c r="G575" s="14"/>
      <c r="H575" s="14"/>
      <c r="I575" s="14"/>
      <c r="J575" s="14"/>
      <c r="K575" s="14"/>
      <c r="L575" s="14"/>
      <c r="M575" s="14"/>
      <c r="N575" s="14"/>
      <c r="O575" s="16"/>
      <c r="P575" s="16"/>
      <c r="Q575" s="16"/>
      <c r="R575" s="16"/>
      <c r="S575" s="16"/>
      <c r="T575" s="16"/>
      <c r="U575" s="16"/>
      <c r="V575" s="16"/>
      <c r="W575" s="16"/>
      <c r="X575" s="16"/>
      <c r="Y575" s="16"/>
      <c r="Z575" s="16"/>
      <c r="AA575" s="16"/>
      <c r="AB575" s="16"/>
      <c r="AC575" s="16"/>
      <c r="AD575" s="16"/>
    </row>
    <row r="576" spans="2:30" ht="15.75" customHeight="1">
      <c r="B576" s="14"/>
      <c r="C576" s="14"/>
      <c r="D576" s="14"/>
      <c r="E576" s="14"/>
      <c r="F576" s="14"/>
      <c r="G576" s="14"/>
      <c r="H576" s="14"/>
      <c r="I576" s="14"/>
      <c r="J576" s="14"/>
      <c r="K576" s="14"/>
      <c r="L576" s="14"/>
      <c r="M576" s="14"/>
      <c r="N576" s="14"/>
      <c r="O576" s="16"/>
      <c r="P576" s="16"/>
      <c r="Q576" s="16"/>
      <c r="R576" s="16"/>
      <c r="S576" s="16"/>
      <c r="T576" s="16"/>
      <c r="U576" s="16"/>
      <c r="V576" s="16"/>
      <c r="W576" s="16"/>
      <c r="X576" s="16"/>
      <c r="Y576" s="16"/>
      <c r="Z576" s="16"/>
      <c r="AA576" s="16"/>
      <c r="AB576" s="16"/>
      <c r="AC576" s="16"/>
      <c r="AD576" s="16"/>
    </row>
    <row r="577" spans="2:30" ht="15.75" customHeight="1">
      <c r="B577" s="14"/>
      <c r="C577" s="14"/>
      <c r="D577" s="14"/>
      <c r="E577" s="14"/>
      <c r="F577" s="14"/>
      <c r="G577" s="14"/>
      <c r="H577" s="14"/>
      <c r="I577" s="14"/>
      <c r="J577" s="14"/>
      <c r="K577" s="14"/>
      <c r="L577" s="14"/>
      <c r="M577" s="14"/>
      <c r="N577" s="14"/>
      <c r="O577" s="16"/>
      <c r="P577" s="16"/>
      <c r="Q577" s="16"/>
      <c r="R577" s="16"/>
      <c r="S577" s="16"/>
      <c r="T577" s="16"/>
      <c r="U577" s="16"/>
      <c r="V577" s="16"/>
      <c r="W577" s="16"/>
      <c r="X577" s="16"/>
      <c r="Y577" s="16"/>
      <c r="Z577" s="16"/>
      <c r="AA577" s="16"/>
      <c r="AB577" s="16"/>
      <c r="AC577" s="16"/>
      <c r="AD577" s="16"/>
    </row>
    <row r="578" spans="2:30" ht="15.75" customHeight="1">
      <c r="B578" s="14"/>
      <c r="C578" s="14"/>
      <c r="D578" s="14"/>
      <c r="E578" s="14"/>
      <c r="F578" s="14"/>
      <c r="G578" s="14"/>
      <c r="H578" s="14"/>
      <c r="I578" s="14"/>
      <c r="J578" s="14"/>
      <c r="K578" s="14"/>
      <c r="L578" s="14"/>
      <c r="M578" s="14"/>
      <c r="N578" s="14"/>
      <c r="O578" s="16"/>
      <c r="P578" s="16"/>
      <c r="Q578" s="16"/>
      <c r="R578" s="16"/>
      <c r="S578" s="16"/>
      <c r="T578" s="16"/>
      <c r="U578" s="16"/>
      <c r="V578" s="16"/>
      <c r="W578" s="16"/>
      <c r="X578" s="16"/>
      <c r="Y578" s="16"/>
      <c r="Z578" s="16"/>
      <c r="AA578" s="16"/>
      <c r="AB578" s="16"/>
      <c r="AC578" s="16"/>
      <c r="AD578" s="16"/>
    </row>
    <row r="579" spans="2:30" ht="15.75" customHeight="1">
      <c r="B579" s="14"/>
      <c r="C579" s="14"/>
      <c r="D579" s="14"/>
      <c r="E579" s="14"/>
      <c r="F579" s="14"/>
      <c r="G579" s="14"/>
      <c r="H579" s="14"/>
      <c r="I579" s="14"/>
      <c r="J579" s="14"/>
      <c r="K579" s="14"/>
      <c r="L579" s="14"/>
      <c r="M579" s="14"/>
      <c r="N579" s="14"/>
      <c r="O579" s="16"/>
      <c r="P579" s="16"/>
      <c r="Q579" s="16"/>
      <c r="R579" s="16"/>
      <c r="S579" s="16"/>
      <c r="T579" s="16"/>
      <c r="U579" s="16"/>
      <c r="V579" s="16"/>
      <c r="W579" s="16"/>
      <c r="X579" s="16"/>
      <c r="Y579" s="16"/>
      <c r="Z579" s="16"/>
      <c r="AA579" s="16"/>
      <c r="AB579" s="16"/>
      <c r="AC579" s="16"/>
      <c r="AD579" s="16"/>
    </row>
    <row r="580" spans="2:30" ht="15.75" customHeight="1">
      <c r="B580" s="14"/>
      <c r="C580" s="14"/>
      <c r="D580" s="14"/>
      <c r="E580" s="14"/>
      <c r="F580" s="14"/>
      <c r="G580" s="14"/>
      <c r="H580" s="14"/>
      <c r="I580" s="14"/>
      <c r="J580" s="14"/>
      <c r="K580" s="14"/>
      <c r="L580" s="14"/>
      <c r="M580" s="14"/>
      <c r="N580" s="14"/>
      <c r="O580" s="16"/>
      <c r="P580" s="16"/>
      <c r="Q580" s="16"/>
      <c r="R580" s="16"/>
      <c r="S580" s="16"/>
      <c r="T580" s="16"/>
      <c r="U580" s="16"/>
      <c r="V580" s="16"/>
      <c r="W580" s="16"/>
      <c r="X580" s="16"/>
      <c r="Y580" s="16"/>
      <c r="Z580" s="16"/>
      <c r="AA580" s="16"/>
      <c r="AB580" s="16"/>
      <c r="AC580" s="16"/>
      <c r="AD580" s="16"/>
    </row>
    <row r="581" spans="2:30" ht="15.75" customHeight="1">
      <c r="B581" s="14"/>
      <c r="C581" s="14"/>
      <c r="D581" s="14"/>
      <c r="E581" s="14"/>
      <c r="F581" s="14"/>
      <c r="G581" s="14"/>
      <c r="H581" s="14"/>
      <c r="I581" s="14"/>
      <c r="J581" s="14"/>
      <c r="K581" s="14"/>
      <c r="L581" s="14"/>
      <c r="M581" s="14"/>
      <c r="N581" s="14"/>
      <c r="O581" s="16"/>
      <c r="P581" s="16"/>
      <c r="Q581" s="16"/>
      <c r="R581" s="16"/>
      <c r="S581" s="16"/>
      <c r="T581" s="16"/>
      <c r="U581" s="16"/>
      <c r="V581" s="16"/>
      <c r="W581" s="16"/>
      <c r="X581" s="16"/>
      <c r="Y581" s="16"/>
      <c r="Z581" s="16"/>
      <c r="AA581" s="16"/>
      <c r="AB581" s="16"/>
      <c r="AC581" s="16"/>
      <c r="AD581" s="16"/>
    </row>
    <row r="582" spans="2:30" ht="15.75" customHeight="1">
      <c r="B582" s="14"/>
      <c r="C582" s="14"/>
      <c r="D582" s="14"/>
      <c r="E582" s="14"/>
      <c r="F582" s="14"/>
      <c r="G582" s="14"/>
      <c r="H582" s="14"/>
      <c r="I582" s="14"/>
      <c r="J582" s="14"/>
      <c r="K582" s="14"/>
      <c r="L582" s="14"/>
      <c r="M582" s="14"/>
      <c r="N582" s="14"/>
      <c r="O582" s="16"/>
      <c r="P582" s="16"/>
      <c r="Q582" s="16"/>
      <c r="R582" s="16"/>
      <c r="S582" s="16"/>
      <c r="T582" s="16"/>
      <c r="U582" s="16"/>
      <c r="V582" s="16"/>
      <c r="W582" s="16"/>
      <c r="X582" s="16"/>
      <c r="Y582" s="16"/>
      <c r="Z582" s="16"/>
      <c r="AA582" s="16"/>
      <c r="AB582" s="16"/>
      <c r="AC582" s="16"/>
      <c r="AD582" s="16"/>
    </row>
    <row r="583" spans="2:30" ht="15.75" customHeight="1">
      <c r="B583" s="14"/>
      <c r="C583" s="14"/>
      <c r="D583" s="14"/>
      <c r="E583" s="14"/>
      <c r="F583" s="14"/>
      <c r="G583" s="14"/>
      <c r="H583" s="14"/>
      <c r="I583" s="14"/>
      <c r="J583" s="14"/>
      <c r="K583" s="14"/>
      <c r="L583" s="14"/>
      <c r="M583" s="14"/>
      <c r="N583" s="14"/>
      <c r="O583" s="16"/>
      <c r="P583" s="16"/>
      <c r="Q583" s="16"/>
      <c r="R583" s="16"/>
      <c r="S583" s="16"/>
      <c r="T583" s="16"/>
      <c r="U583" s="16"/>
      <c r="V583" s="16"/>
      <c r="W583" s="16"/>
      <c r="X583" s="16"/>
      <c r="Y583" s="16"/>
      <c r="Z583" s="16"/>
      <c r="AA583" s="16"/>
      <c r="AB583" s="16"/>
      <c r="AC583" s="16"/>
      <c r="AD583" s="16"/>
    </row>
    <row r="584" spans="2:30" ht="15.75" customHeight="1">
      <c r="B584" s="14"/>
      <c r="C584" s="14"/>
      <c r="D584" s="14"/>
      <c r="E584" s="14"/>
      <c r="F584" s="14"/>
      <c r="G584" s="14"/>
      <c r="H584" s="14"/>
      <c r="I584" s="14"/>
      <c r="J584" s="14"/>
      <c r="K584" s="14"/>
      <c r="L584" s="14"/>
      <c r="M584" s="14"/>
      <c r="N584" s="14"/>
      <c r="O584" s="16"/>
      <c r="P584" s="16"/>
      <c r="Q584" s="16"/>
      <c r="R584" s="16"/>
      <c r="S584" s="16"/>
      <c r="T584" s="16"/>
      <c r="U584" s="16"/>
      <c r="V584" s="16"/>
      <c r="W584" s="16"/>
      <c r="X584" s="16"/>
      <c r="Y584" s="16"/>
      <c r="Z584" s="16"/>
      <c r="AA584" s="16"/>
      <c r="AB584" s="16"/>
      <c r="AC584" s="16"/>
      <c r="AD584" s="16"/>
    </row>
    <row r="585" spans="2:30" ht="15.75" customHeight="1">
      <c r="B585" s="14"/>
      <c r="C585" s="14"/>
      <c r="D585" s="14"/>
      <c r="E585" s="14"/>
      <c r="F585" s="14"/>
      <c r="G585" s="14"/>
      <c r="H585" s="14"/>
      <c r="I585" s="14"/>
      <c r="J585" s="14"/>
      <c r="K585" s="14"/>
      <c r="L585" s="14"/>
      <c r="M585" s="14"/>
      <c r="N585" s="14"/>
      <c r="O585" s="16"/>
      <c r="P585" s="16"/>
      <c r="Q585" s="16"/>
      <c r="R585" s="16"/>
      <c r="S585" s="16"/>
      <c r="T585" s="16"/>
      <c r="U585" s="16"/>
      <c r="V585" s="16"/>
      <c r="W585" s="16"/>
      <c r="X585" s="16"/>
      <c r="Y585" s="16"/>
      <c r="Z585" s="16"/>
      <c r="AA585" s="16"/>
      <c r="AB585" s="16"/>
      <c r="AC585" s="16"/>
      <c r="AD585" s="16"/>
    </row>
    <row r="586" spans="2:30" ht="15.75" customHeight="1">
      <c r="B586" s="14"/>
      <c r="C586" s="14"/>
      <c r="D586" s="14"/>
      <c r="E586" s="14"/>
      <c r="F586" s="14"/>
      <c r="G586" s="14"/>
      <c r="H586" s="14"/>
      <c r="I586" s="14"/>
      <c r="J586" s="14"/>
      <c r="K586" s="14"/>
      <c r="L586" s="14"/>
      <c r="M586" s="14"/>
      <c r="N586" s="14"/>
      <c r="O586" s="16"/>
      <c r="P586" s="16"/>
      <c r="Q586" s="16"/>
      <c r="R586" s="16"/>
      <c r="S586" s="16"/>
      <c r="T586" s="16"/>
      <c r="U586" s="16"/>
      <c r="V586" s="16"/>
      <c r="W586" s="16"/>
      <c r="X586" s="16"/>
      <c r="Y586" s="16"/>
      <c r="Z586" s="16"/>
      <c r="AA586" s="16"/>
      <c r="AB586" s="16"/>
      <c r="AC586" s="16"/>
      <c r="AD586" s="16"/>
    </row>
    <row r="587" spans="2:30" ht="15.75" customHeight="1">
      <c r="B587" s="14"/>
      <c r="C587" s="14"/>
      <c r="D587" s="14"/>
      <c r="E587" s="14"/>
      <c r="F587" s="14"/>
      <c r="G587" s="14"/>
      <c r="H587" s="14"/>
      <c r="I587" s="14"/>
      <c r="J587" s="14"/>
      <c r="K587" s="14"/>
      <c r="L587" s="14"/>
      <c r="M587" s="14"/>
      <c r="N587" s="14"/>
      <c r="O587" s="16"/>
      <c r="P587" s="16"/>
      <c r="Q587" s="16"/>
      <c r="R587" s="16"/>
      <c r="S587" s="16"/>
      <c r="T587" s="16"/>
      <c r="U587" s="16"/>
      <c r="V587" s="16"/>
      <c r="W587" s="16"/>
      <c r="X587" s="16"/>
      <c r="Y587" s="16"/>
      <c r="Z587" s="16"/>
      <c r="AA587" s="16"/>
      <c r="AB587" s="16"/>
      <c r="AC587" s="16"/>
      <c r="AD587" s="16"/>
    </row>
    <row r="588" spans="2:30" ht="15.75" customHeight="1">
      <c r="B588" s="14"/>
      <c r="C588" s="14"/>
      <c r="D588" s="14"/>
      <c r="E588" s="14"/>
      <c r="F588" s="14"/>
      <c r="G588" s="14"/>
      <c r="H588" s="14"/>
      <c r="I588" s="14"/>
      <c r="J588" s="14"/>
      <c r="K588" s="14"/>
      <c r="L588" s="14"/>
      <c r="M588" s="14"/>
      <c r="N588" s="14"/>
      <c r="O588" s="16"/>
      <c r="P588" s="16"/>
      <c r="Q588" s="16"/>
      <c r="R588" s="16"/>
      <c r="S588" s="16"/>
      <c r="T588" s="16"/>
      <c r="U588" s="16"/>
      <c r="V588" s="16"/>
      <c r="W588" s="16"/>
      <c r="X588" s="16"/>
      <c r="Y588" s="16"/>
      <c r="Z588" s="16"/>
      <c r="AA588" s="16"/>
      <c r="AB588" s="16"/>
      <c r="AC588" s="16"/>
      <c r="AD588" s="16"/>
    </row>
    <row r="589" spans="2:30" ht="15.75" customHeight="1">
      <c r="B589" s="14"/>
      <c r="C589" s="14"/>
      <c r="D589" s="14"/>
      <c r="E589" s="14"/>
      <c r="F589" s="14"/>
      <c r="G589" s="14"/>
      <c r="H589" s="14"/>
      <c r="I589" s="14"/>
      <c r="J589" s="14"/>
      <c r="K589" s="14"/>
      <c r="L589" s="14"/>
      <c r="M589" s="14"/>
      <c r="N589" s="14"/>
      <c r="O589" s="16"/>
      <c r="P589" s="16"/>
      <c r="Q589" s="16"/>
      <c r="R589" s="16"/>
      <c r="S589" s="16"/>
      <c r="T589" s="16"/>
      <c r="U589" s="16"/>
      <c r="V589" s="16"/>
      <c r="W589" s="16"/>
      <c r="X589" s="16"/>
      <c r="Y589" s="16"/>
      <c r="Z589" s="16"/>
      <c r="AA589" s="16"/>
      <c r="AB589" s="16"/>
      <c r="AC589" s="16"/>
      <c r="AD589" s="16"/>
    </row>
    <row r="590" spans="2:30" ht="15.75" customHeight="1">
      <c r="B590" s="14"/>
      <c r="C590" s="14"/>
      <c r="D590" s="14"/>
      <c r="E590" s="14"/>
      <c r="F590" s="14"/>
      <c r="G590" s="14"/>
      <c r="H590" s="14"/>
      <c r="I590" s="14"/>
      <c r="J590" s="14"/>
      <c r="K590" s="14"/>
      <c r="L590" s="14"/>
      <c r="M590" s="14"/>
      <c r="N590" s="14"/>
      <c r="O590" s="16"/>
      <c r="P590" s="16"/>
      <c r="Q590" s="16"/>
      <c r="R590" s="16"/>
      <c r="S590" s="16"/>
      <c r="T590" s="16"/>
      <c r="U590" s="16"/>
      <c r="V590" s="16"/>
      <c r="W590" s="16"/>
      <c r="X590" s="16"/>
      <c r="Y590" s="16"/>
      <c r="Z590" s="16"/>
      <c r="AA590" s="16"/>
      <c r="AB590" s="16"/>
      <c r="AC590" s="16"/>
      <c r="AD590" s="16"/>
    </row>
    <row r="591" spans="2:30" ht="15.75" customHeight="1">
      <c r="B591" s="14"/>
      <c r="C591" s="14"/>
      <c r="D591" s="14"/>
      <c r="E591" s="14"/>
      <c r="F591" s="14"/>
      <c r="G591" s="14"/>
      <c r="H591" s="14"/>
      <c r="I591" s="14"/>
      <c r="J591" s="14"/>
      <c r="K591" s="14"/>
      <c r="L591" s="14"/>
      <c r="M591" s="14"/>
      <c r="N591" s="14"/>
      <c r="O591" s="16"/>
      <c r="P591" s="16"/>
      <c r="Q591" s="16"/>
      <c r="R591" s="16"/>
      <c r="S591" s="16"/>
      <c r="T591" s="16"/>
      <c r="U591" s="16"/>
      <c r="V591" s="16"/>
      <c r="W591" s="16"/>
      <c r="X591" s="16"/>
      <c r="Y591" s="16"/>
      <c r="Z591" s="16"/>
      <c r="AA591" s="16"/>
      <c r="AB591" s="16"/>
      <c r="AC591" s="16"/>
      <c r="AD591" s="16"/>
    </row>
    <row r="592" spans="2:30" ht="15.75" customHeight="1">
      <c r="B592" s="14"/>
      <c r="C592" s="14"/>
      <c r="D592" s="14"/>
      <c r="E592" s="14"/>
      <c r="F592" s="14"/>
      <c r="G592" s="14"/>
      <c r="H592" s="14"/>
      <c r="I592" s="14"/>
      <c r="J592" s="14"/>
      <c r="K592" s="14"/>
      <c r="L592" s="14"/>
      <c r="M592" s="14"/>
      <c r="N592" s="14"/>
      <c r="O592" s="16"/>
      <c r="P592" s="16"/>
      <c r="Q592" s="16"/>
      <c r="R592" s="16"/>
      <c r="S592" s="16"/>
      <c r="T592" s="16"/>
      <c r="U592" s="16"/>
      <c r="V592" s="16"/>
      <c r="W592" s="16"/>
      <c r="X592" s="16"/>
      <c r="Y592" s="16"/>
      <c r="Z592" s="16"/>
      <c r="AA592" s="16"/>
      <c r="AB592" s="16"/>
      <c r="AC592" s="16"/>
      <c r="AD592" s="16"/>
    </row>
    <row r="593" spans="2:30" ht="15.75" customHeight="1">
      <c r="B593" s="14"/>
      <c r="C593" s="14"/>
      <c r="D593" s="14"/>
      <c r="E593" s="14"/>
      <c r="F593" s="14"/>
      <c r="G593" s="14"/>
      <c r="H593" s="14"/>
      <c r="I593" s="14"/>
      <c r="J593" s="14"/>
      <c r="K593" s="14"/>
      <c r="L593" s="14"/>
      <c r="M593" s="14"/>
      <c r="N593" s="14"/>
      <c r="O593" s="16"/>
      <c r="P593" s="16"/>
      <c r="Q593" s="16"/>
      <c r="R593" s="16"/>
      <c r="S593" s="16"/>
      <c r="T593" s="16"/>
      <c r="U593" s="16"/>
      <c r="V593" s="16"/>
      <c r="W593" s="16"/>
      <c r="X593" s="16"/>
      <c r="Y593" s="16"/>
      <c r="Z593" s="16"/>
      <c r="AA593" s="16"/>
      <c r="AB593" s="16"/>
      <c r="AC593" s="16"/>
      <c r="AD593" s="16"/>
    </row>
    <row r="594" spans="2:30" ht="15.75" customHeight="1">
      <c r="B594" s="14"/>
      <c r="C594" s="14"/>
      <c r="D594" s="14"/>
      <c r="E594" s="14"/>
      <c r="F594" s="14"/>
      <c r="G594" s="14"/>
      <c r="H594" s="14"/>
      <c r="I594" s="14"/>
      <c r="J594" s="14"/>
      <c r="K594" s="14"/>
      <c r="L594" s="14"/>
      <c r="M594" s="14"/>
      <c r="N594" s="14"/>
      <c r="O594" s="16"/>
      <c r="P594" s="16"/>
      <c r="Q594" s="16"/>
      <c r="R594" s="16"/>
      <c r="S594" s="16"/>
      <c r="T594" s="16"/>
      <c r="U594" s="16"/>
      <c r="V594" s="16"/>
      <c r="W594" s="16"/>
      <c r="X594" s="16"/>
      <c r="Y594" s="16"/>
      <c r="Z594" s="16"/>
      <c r="AA594" s="16"/>
      <c r="AB594" s="16"/>
      <c r="AC594" s="16"/>
      <c r="AD594" s="16"/>
    </row>
    <row r="595" spans="2:30" ht="15.75" customHeight="1">
      <c r="B595" s="14"/>
      <c r="C595" s="14"/>
      <c r="D595" s="14"/>
      <c r="E595" s="14"/>
      <c r="F595" s="14"/>
      <c r="G595" s="14"/>
      <c r="H595" s="14"/>
      <c r="I595" s="14"/>
      <c r="J595" s="14"/>
      <c r="K595" s="14"/>
      <c r="L595" s="14"/>
      <c r="M595" s="14"/>
      <c r="N595" s="14"/>
      <c r="O595" s="16"/>
      <c r="P595" s="16"/>
      <c r="Q595" s="16"/>
      <c r="R595" s="16"/>
      <c r="S595" s="16"/>
      <c r="T595" s="16"/>
      <c r="U595" s="16"/>
      <c r="V595" s="16"/>
      <c r="W595" s="16"/>
      <c r="X595" s="16"/>
      <c r="Y595" s="16"/>
      <c r="Z595" s="16"/>
      <c r="AA595" s="16"/>
      <c r="AB595" s="16"/>
      <c r="AC595" s="16"/>
      <c r="AD595" s="16"/>
    </row>
    <row r="596" spans="2:30" ht="15.75" customHeight="1">
      <c r="B596" s="14"/>
      <c r="C596" s="14"/>
      <c r="D596" s="14"/>
      <c r="E596" s="14"/>
      <c r="F596" s="14"/>
      <c r="G596" s="14"/>
      <c r="H596" s="14"/>
      <c r="I596" s="14"/>
      <c r="J596" s="14"/>
      <c r="K596" s="14"/>
      <c r="L596" s="14"/>
      <c r="M596" s="14"/>
      <c r="N596" s="14"/>
      <c r="O596" s="16"/>
      <c r="P596" s="16"/>
      <c r="Q596" s="16"/>
      <c r="R596" s="16"/>
      <c r="S596" s="16"/>
      <c r="T596" s="16"/>
      <c r="U596" s="16"/>
      <c r="V596" s="16"/>
      <c r="W596" s="16"/>
      <c r="X596" s="16"/>
      <c r="Y596" s="16"/>
      <c r="Z596" s="16"/>
      <c r="AA596" s="16"/>
      <c r="AB596" s="16"/>
      <c r="AC596" s="16"/>
      <c r="AD596" s="16"/>
    </row>
    <row r="597" spans="2:30" ht="15.75" customHeight="1">
      <c r="B597" s="14"/>
      <c r="C597" s="14"/>
      <c r="D597" s="14"/>
      <c r="E597" s="14"/>
      <c r="F597" s="14"/>
      <c r="G597" s="14"/>
      <c r="H597" s="14"/>
      <c r="I597" s="14"/>
      <c r="J597" s="14"/>
      <c r="K597" s="14"/>
      <c r="L597" s="14"/>
      <c r="M597" s="14"/>
      <c r="N597" s="14"/>
      <c r="O597" s="16"/>
      <c r="P597" s="16"/>
      <c r="Q597" s="16"/>
      <c r="R597" s="16"/>
      <c r="S597" s="16"/>
      <c r="T597" s="16"/>
      <c r="U597" s="16"/>
      <c r="V597" s="16"/>
      <c r="W597" s="16"/>
      <c r="X597" s="16"/>
      <c r="Y597" s="16"/>
      <c r="Z597" s="16"/>
      <c r="AA597" s="16"/>
      <c r="AB597" s="16"/>
      <c r="AC597" s="16"/>
      <c r="AD597" s="16"/>
    </row>
    <row r="598" spans="2:30" ht="15.75" customHeight="1">
      <c r="B598" s="14"/>
      <c r="C598" s="14"/>
      <c r="D598" s="14"/>
      <c r="E598" s="14"/>
      <c r="F598" s="14"/>
      <c r="G598" s="14"/>
      <c r="H598" s="14"/>
      <c r="I598" s="14"/>
      <c r="J598" s="14"/>
      <c r="K598" s="14"/>
      <c r="L598" s="14"/>
      <c r="M598" s="14"/>
      <c r="N598" s="14"/>
      <c r="O598" s="16"/>
      <c r="P598" s="16"/>
      <c r="Q598" s="16"/>
      <c r="R598" s="16"/>
      <c r="S598" s="16"/>
      <c r="T598" s="16"/>
      <c r="U598" s="16"/>
      <c r="V598" s="16"/>
      <c r="W598" s="16"/>
      <c r="X598" s="16"/>
      <c r="Y598" s="16"/>
      <c r="Z598" s="16"/>
      <c r="AA598" s="16"/>
      <c r="AB598" s="16"/>
      <c r="AC598" s="16"/>
      <c r="AD598" s="16"/>
    </row>
    <row r="599" spans="2:30" ht="15.75" customHeight="1">
      <c r="B599" s="14"/>
      <c r="C599" s="14"/>
      <c r="D599" s="14"/>
      <c r="E599" s="14"/>
      <c r="F599" s="14"/>
      <c r="G599" s="14"/>
      <c r="H599" s="14"/>
      <c r="I599" s="14"/>
      <c r="J599" s="14"/>
      <c r="K599" s="14"/>
      <c r="L599" s="14"/>
      <c r="M599" s="14"/>
      <c r="N599" s="14"/>
      <c r="O599" s="16"/>
      <c r="P599" s="16"/>
      <c r="Q599" s="16"/>
      <c r="R599" s="16"/>
      <c r="S599" s="16"/>
      <c r="T599" s="16"/>
      <c r="U599" s="16"/>
      <c r="V599" s="16"/>
      <c r="W599" s="16"/>
      <c r="X599" s="16"/>
      <c r="Y599" s="16"/>
      <c r="Z599" s="16"/>
      <c r="AA599" s="16"/>
      <c r="AB599" s="16"/>
      <c r="AC599" s="16"/>
      <c r="AD599" s="16"/>
    </row>
    <row r="600" spans="2:30" ht="15.75" customHeight="1">
      <c r="B600" s="14"/>
      <c r="C600" s="14"/>
      <c r="D600" s="14"/>
      <c r="E600" s="14"/>
      <c r="F600" s="14"/>
      <c r="G600" s="14"/>
      <c r="H600" s="14"/>
      <c r="I600" s="14"/>
      <c r="J600" s="14"/>
      <c r="K600" s="14"/>
      <c r="L600" s="14"/>
      <c r="M600" s="14"/>
      <c r="N600" s="14"/>
      <c r="O600" s="16"/>
      <c r="P600" s="16"/>
      <c r="Q600" s="16"/>
      <c r="R600" s="16"/>
      <c r="S600" s="16"/>
      <c r="T600" s="16"/>
      <c r="U600" s="16"/>
      <c r="V600" s="16"/>
      <c r="W600" s="16"/>
      <c r="X600" s="16"/>
      <c r="Y600" s="16"/>
      <c r="Z600" s="16"/>
      <c r="AA600" s="16"/>
      <c r="AB600" s="16"/>
      <c r="AC600" s="16"/>
      <c r="AD600" s="16"/>
    </row>
    <row r="601" spans="2:30" ht="15.75" customHeight="1">
      <c r="B601" s="14"/>
      <c r="C601" s="14"/>
      <c r="D601" s="14"/>
      <c r="E601" s="14"/>
      <c r="F601" s="14"/>
      <c r="G601" s="14"/>
      <c r="H601" s="14"/>
      <c r="I601" s="14"/>
      <c r="J601" s="14"/>
      <c r="K601" s="14"/>
      <c r="L601" s="14"/>
      <c r="M601" s="14"/>
      <c r="N601" s="14"/>
      <c r="O601" s="16"/>
      <c r="P601" s="16"/>
      <c r="Q601" s="16"/>
      <c r="R601" s="16"/>
      <c r="S601" s="16"/>
      <c r="T601" s="16"/>
      <c r="U601" s="16"/>
      <c r="V601" s="16"/>
      <c r="W601" s="16"/>
      <c r="X601" s="16"/>
      <c r="Y601" s="16"/>
      <c r="Z601" s="16"/>
      <c r="AA601" s="16"/>
      <c r="AB601" s="16"/>
      <c r="AC601" s="16"/>
      <c r="AD601" s="16"/>
    </row>
    <row r="602" spans="2:30" ht="15.75" customHeight="1">
      <c r="B602" s="14"/>
      <c r="C602" s="14"/>
      <c r="D602" s="14"/>
      <c r="E602" s="14"/>
      <c r="F602" s="14"/>
      <c r="G602" s="14"/>
      <c r="H602" s="14"/>
      <c r="I602" s="14"/>
      <c r="J602" s="14"/>
      <c r="K602" s="14"/>
      <c r="L602" s="14"/>
      <c r="M602" s="14"/>
      <c r="N602" s="14"/>
      <c r="O602" s="16"/>
      <c r="P602" s="16"/>
      <c r="Q602" s="16"/>
      <c r="R602" s="16"/>
      <c r="S602" s="16"/>
      <c r="T602" s="16"/>
      <c r="U602" s="16"/>
      <c r="V602" s="16"/>
      <c r="W602" s="16"/>
      <c r="X602" s="16"/>
      <c r="Y602" s="16"/>
      <c r="Z602" s="16"/>
      <c r="AA602" s="16"/>
      <c r="AB602" s="16"/>
      <c r="AC602" s="16"/>
      <c r="AD602" s="16"/>
    </row>
    <row r="603" spans="2:30" ht="15.75" customHeight="1">
      <c r="B603" s="14"/>
      <c r="C603" s="14"/>
      <c r="D603" s="14"/>
      <c r="E603" s="14"/>
      <c r="F603" s="14"/>
      <c r="G603" s="14"/>
      <c r="H603" s="14"/>
      <c r="I603" s="14"/>
      <c r="J603" s="14"/>
      <c r="K603" s="14"/>
      <c r="L603" s="14"/>
      <c r="M603" s="14"/>
      <c r="N603" s="14"/>
      <c r="O603" s="16"/>
      <c r="P603" s="16"/>
      <c r="Q603" s="16"/>
      <c r="R603" s="16"/>
      <c r="S603" s="16"/>
      <c r="T603" s="16"/>
      <c r="U603" s="16"/>
      <c r="V603" s="16"/>
      <c r="W603" s="16"/>
      <c r="X603" s="16"/>
      <c r="Y603" s="16"/>
      <c r="Z603" s="16"/>
      <c r="AA603" s="16"/>
      <c r="AB603" s="16"/>
      <c r="AC603" s="16"/>
      <c r="AD603" s="16"/>
    </row>
    <row r="604" spans="2:30" ht="15.75" customHeight="1">
      <c r="B604" s="14"/>
      <c r="C604" s="14"/>
      <c r="D604" s="14"/>
      <c r="E604" s="14"/>
      <c r="F604" s="14"/>
      <c r="G604" s="14"/>
      <c r="H604" s="14"/>
      <c r="I604" s="14"/>
      <c r="J604" s="14"/>
      <c r="K604" s="14"/>
      <c r="L604" s="14"/>
      <c r="M604" s="14"/>
      <c r="N604" s="14"/>
      <c r="O604" s="16"/>
      <c r="P604" s="16"/>
      <c r="Q604" s="16"/>
      <c r="R604" s="16"/>
      <c r="S604" s="16"/>
      <c r="T604" s="16"/>
      <c r="U604" s="16"/>
      <c r="V604" s="16"/>
      <c r="W604" s="16"/>
      <c r="X604" s="16"/>
      <c r="Y604" s="16"/>
      <c r="Z604" s="16"/>
      <c r="AA604" s="16"/>
      <c r="AB604" s="16"/>
      <c r="AC604" s="16"/>
      <c r="AD604" s="16"/>
    </row>
    <row r="605" spans="2:30" ht="15.75" customHeight="1">
      <c r="B605" s="14"/>
      <c r="C605" s="14"/>
      <c r="D605" s="14"/>
      <c r="E605" s="14"/>
      <c r="F605" s="14"/>
      <c r="G605" s="14"/>
      <c r="H605" s="14"/>
      <c r="I605" s="14"/>
      <c r="J605" s="14"/>
      <c r="K605" s="14"/>
      <c r="L605" s="14"/>
      <c r="M605" s="14"/>
      <c r="N605" s="14"/>
      <c r="O605" s="16"/>
      <c r="P605" s="16"/>
      <c r="Q605" s="16"/>
      <c r="R605" s="16"/>
      <c r="S605" s="16"/>
      <c r="T605" s="16"/>
      <c r="U605" s="16"/>
      <c r="V605" s="16"/>
      <c r="W605" s="16"/>
      <c r="X605" s="16"/>
      <c r="Y605" s="16"/>
      <c r="Z605" s="16"/>
      <c r="AA605" s="16"/>
      <c r="AB605" s="16"/>
      <c r="AC605" s="16"/>
      <c r="AD605" s="16"/>
    </row>
    <row r="606" spans="2:30" ht="15.75" customHeight="1">
      <c r="B606" s="14"/>
      <c r="C606" s="14"/>
      <c r="D606" s="14"/>
      <c r="E606" s="14"/>
      <c r="F606" s="14"/>
      <c r="G606" s="14"/>
      <c r="H606" s="14"/>
      <c r="I606" s="14"/>
      <c r="J606" s="14"/>
      <c r="K606" s="14"/>
      <c r="L606" s="14"/>
      <c r="M606" s="14"/>
      <c r="N606" s="14"/>
      <c r="O606" s="16"/>
      <c r="P606" s="16"/>
      <c r="Q606" s="16"/>
      <c r="R606" s="16"/>
      <c r="S606" s="16"/>
      <c r="T606" s="16"/>
      <c r="U606" s="16"/>
      <c r="V606" s="16"/>
      <c r="W606" s="16"/>
      <c r="X606" s="16"/>
      <c r="Y606" s="16"/>
      <c r="Z606" s="16"/>
      <c r="AA606" s="16"/>
      <c r="AB606" s="16"/>
      <c r="AC606" s="16"/>
      <c r="AD606" s="16"/>
    </row>
    <row r="607" spans="2:30" ht="15.75" customHeight="1">
      <c r="B607" s="14"/>
      <c r="C607" s="14"/>
      <c r="D607" s="14"/>
      <c r="E607" s="14"/>
      <c r="F607" s="14"/>
      <c r="G607" s="14"/>
      <c r="H607" s="14"/>
      <c r="I607" s="14"/>
      <c r="J607" s="14"/>
      <c r="K607" s="14"/>
      <c r="L607" s="14"/>
      <c r="M607" s="14"/>
      <c r="N607" s="14"/>
      <c r="O607" s="16"/>
      <c r="P607" s="16"/>
      <c r="Q607" s="16"/>
      <c r="R607" s="16"/>
      <c r="S607" s="16"/>
      <c r="T607" s="16"/>
      <c r="U607" s="16"/>
      <c r="V607" s="16"/>
      <c r="W607" s="16"/>
      <c r="X607" s="16"/>
      <c r="Y607" s="16"/>
      <c r="Z607" s="16"/>
      <c r="AA607" s="16"/>
      <c r="AB607" s="16"/>
      <c r="AC607" s="16"/>
      <c r="AD607" s="16"/>
    </row>
    <row r="608" spans="2:30" ht="15.75" customHeight="1">
      <c r="B608" s="14"/>
      <c r="C608" s="14"/>
      <c r="D608" s="14"/>
      <c r="E608" s="14"/>
      <c r="F608" s="14"/>
      <c r="G608" s="14"/>
      <c r="H608" s="14"/>
      <c r="I608" s="14"/>
      <c r="J608" s="14"/>
      <c r="K608" s="14"/>
      <c r="L608" s="14"/>
      <c r="M608" s="14"/>
      <c r="N608" s="14"/>
      <c r="O608" s="16"/>
      <c r="P608" s="16"/>
      <c r="Q608" s="16"/>
      <c r="R608" s="16"/>
      <c r="S608" s="16"/>
      <c r="T608" s="16"/>
      <c r="U608" s="16"/>
      <c r="V608" s="16"/>
      <c r="W608" s="16"/>
      <c r="X608" s="16"/>
      <c r="Y608" s="16"/>
      <c r="Z608" s="16"/>
      <c r="AA608" s="16"/>
      <c r="AB608" s="16"/>
      <c r="AC608" s="16"/>
      <c r="AD608" s="16"/>
    </row>
    <row r="609" spans="2:30" ht="15.75" customHeight="1">
      <c r="B609" s="14"/>
      <c r="C609" s="14"/>
      <c r="D609" s="14"/>
      <c r="E609" s="14"/>
      <c r="F609" s="14"/>
      <c r="G609" s="14"/>
      <c r="H609" s="14"/>
      <c r="I609" s="14"/>
      <c r="J609" s="14"/>
      <c r="K609" s="14"/>
      <c r="L609" s="14"/>
      <c r="M609" s="14"/>
      <c r="N609" s="14"/>
      <c r="O609" s="16"/>
      <c r="P609" s="16"/>
      <c r="Q609" s="16"/>
      <c r="R609" s="16"/>
      <c r="S609" s="16"/>
      <c r="T609" s="16"/>
      <c r="U609" s="16"/>
      <c r="V609" s="16"/>
      <c r="W609" s="16"/>
      <c r="X609" s="16"/>
      <c r="Y609" s="16"/>
      <c r="Z609" s="16"/>
      <c r="AA609" s="16"/>
      <c r="AB609" s="16"/>
      <c r="AC609" s="16"/>
      <c r="AD609" s="16"/>
    </row>
    <row r="610" spans="2:30" ht="15.75" customHeight="1">
      <c r="B610" s="14"/>
      <c r="C610" s="14"/>
      <c r="D610" s="14"/>
      <c r="E610" s="14"/>
      <c r="F610" s="14"/>
      <c r="G610" s="14"/>
      <c r="H610" s="14"/>
      <c r="I610" s="14"/>
      <c r="J610" s="14"/>
      <c r="K610" s="14"/>
      <c r="L610" s="14"/>
      <c r="M610" s="14"/>
      <c r="N610" s="14"/>
      <c r="O610" s="16"/>
      <c r="P610" s="16"/>
      <c r="Q610" s="16"/>
      <c r="R610" s="16"/>
      <c r="S610" s="16"/>
      <c r="T610" s="16"/>
      <c r="U610" s="16"/>
      <c r="V610" s="16"/>
      <c r="W610" s="16"/>
      <c r="X610" s="16"/>
      <c r="Y610" s="16"/>
      <c r="Z610" s="16"/>
      <c r="AA610" s="16"/>
      <c r="AB610" s="16"/>
      <c r="AC610" s="16"/>
      <c r="AD610" s="16"/>
    </row>
    <row r="611" spans="2:30" ht="15.75" customHeight="1">
      <c r="B611" s="14"/>
      <c r="C611" s="14"/>
      <c r="D611" s="14"/>
      <c r="E611" s="14"/>
      <c r="F611" s="14"/>
      <c r="G611" s="14"/>
      <c r="H611" s="14"/>
      <c r="I611" s="14"/>
      <c r="J611" s="14"/>
      <c r="K611" s="14"/>
      <c r="L611" s="14"/>
      <c r="M611" s="14"/>
      <c r="N611" s="14"/>
      <c r="O611" s="16"/>
      <c r="P611" s="16"/>
      <c r="Q611" s="16"/>
      <c r="R611" s="16"/>
      <c r="S611" s="16"/>
      <c r="T611" s="16"/>
      <c r="U611" s="16"/>
      <c r="V611" s="16"/>
      <c r="W611" s="16"/>
      <c r="X611" s="16"/>
      <c r="Y611" s="16"/>
      <c r="Z611" s="16"/>
      <c r="AA611" s="16"/>
      <c r="AB611" s="16"/>
      <c r="AC611" s="16"/>
      <c r="AD611" s="16"/>
    </row>
    <row r="612" spans="2:30" ht="15.75" customHeight="1">
      <c r="B612" s="14"/>
      <c r="C612" s="14"/>
      <c r="D612" s="14"/>
      <c r="E612" s="14"/>
      <c r="F612" s="14"/>
      <c r="G612" s="14"/>
      <c r="H612" s="14"/>
      <c r="I612" s="14"/>
      <c r="J612" s="14"/>
      <c r="K612" s="14"/>
      <c r="L612" s="14"/>
      <c r="M612" s="14"/>
      <c r="N612" s="14"/>
      <c r="O612" s="16"/>
      <c r="P612" s="16"/>
      <c r="Q612" s="16"/>
      <c r="R612" s="16"/>
      <c r="S612" s="16"/>
      <c r="T612" s="16"/>
      <c r="U612" s="16"/>
      <c r="V612" s="16"/>
      <c r="W612" s="16"/>
      <c r="X612" s="16"/>
      <c r="Y612" s="16"/>
      <c r="Z612" s="16"/>
      <c r="AA612" s="16"/>
      <c r="AB612" s="16"/>
      <c r="AC612" s="16"/>
      <c r="AD612" s="16"/>
    </row>
    <row r="613" spans="2:30" ht="15.75" customHeight="1">
      <c r="B613" s="14"/>
      <c r="C613" s="14"/>
      <c r="D613" s="14"/>
      <c r="E613" s="14"/>
      <c r="F613" s="14"/>
      <c r="G613" s="14"/>
      <c r="H613" s="14"/>
      <c r="I613" s="14"/>
      <c r="J613" s="14"/>
      <c r="K613" s="14"/>
      <c r="L613" s="14"/>
      <c r="M613" s="14"/>
      <c r="N613" s="14"/>
      <c r="O613" s="16"/>
      <c r="P613" s="16"/>
      <c r="Q613" s="16"/>
      <c r="R613" s="16"/>
      <c r="S613" s="16"/>
      <c r="T613" s="16"/>
      <c r="U613" s="16"/>
      <c r="V613" s="16"/>
      <c r="W613" s="16"/>
      <c r="X613" s="16"/>
      <c r="Y613" s="16"/>
      <c r="Z613" s="16"/>
      <c r="AA613" s="16"/>
      <c r="AB613" s="16"/>
      <c r="AC613" s="16"/>
      <c r="AD613" s="16"/>
    </row>
    <row r="614" spans="2:30" ht="15.75" customHeight="1">
      <c r="B614" s="14"/>
      <c r="C614" s="14"/>
      <c r="D614" s="14"/>
      <c r="E614" s="14"/>
      <c r="F614" s="14"/>
      <c r="G614" s="14"/>
      <c r="H614" s="14"/>
      <c r="I614" s="14"/>
      <c r="J614" s="14"/>
      <c r="K614" s="14"/>
      <c r="L614" s="14"/>
      <c r="M614" s="14"/>
      <c r="N614" s="14"/>
      <c r="O614" s="16"/>
      <c r="P614" s="16"/>
      <c r="Q614" s="16"/>
      <c r="R614" s="16"/>
      <c r="S614" s="16"/>
      <c r="T614" s="16"/>
      <c r="U614" s="16"/>
      <c r="V614" s="16"/>
      <c r="W614" s="16"/>
      <c r="X614" s="16"/>
      <c r="Y614" s="16"/>
      <c r="Z614" s="16"/>
      <c r="AA614" s="16"/>
      <c r="AB614" s="16"/>
      <c r="AC614" s="16"/>
      <c r="AD614" s="16"/>
    </row>
    <row r="615" spans="2:30" ht="15.75" customHeight="1">
      <c r="B615" s="14"/>
      <c r="C615" s="14"/>
      <c r="D615" s="14"/>
      <c r="E615" s="14"/>
      <c r="F615" s="14"/>
      <c r="G615" s="14"/>
      <c r="H615" s="14"/>
      <c r="I615" s="14"/>
      <c r="J615" s="14"/>
      <c r="K615" s="14"/>
      <c r="L615" s="14"/>
      <c r="M615" s="14"/>
      <c r="N615" s="14"/>
      <c r="O615" s="16"/>
      <c r="P615" s="16"/>
      <c r="Q615" s="16"/>
      <c r="R615" s="16"/>
      <c r="S615" s="16"/>
      <c r="T615" s="16"/>
      <c r="U615" s="16"/>
      <c r="V615" s="16"/>
      <c r="W615" s="16"/>
      <c r="X615" s="16"/>
      <c r="Y615" s="16"/>
      <c r="Z615" s="16"/>
      <c r="AA615" s="16"/>
      <c r="AB615" s="16"/>
      <c r="AC615" s="16"/>
      <c r="AD615" s="16"/>
    </row>
    <row r="616" spans="2:30" ht="15.75" customHeight="1">
      <c r="B616" s="14"/>
      <c r="C616" s="14"/>
      <c r="D616" s="14"/>
      <c r="E616" s="14"/>
      <c r="F616" s="14"/>
      <c r="G616" s="14"/>
      <c r="H616" s="14"/>
      <c r="I616" s="14"/>
      <c r="J616" s="14"/>
      <c r="K616" s="14"/>
      <c r="L616" s="14"/>
      <c r="M616" s="14"/>
      <c r="N616" s="14"/>
      <c r="O616" s="16"/>
      <c r="P616" s="16"/>
      <c r="Q616" s="16"/>
      <c r="R616" s="16"/>
      <c r="S616" s="16"/>
      <c r="T616" s="16"/>
      <c r="U616" s="16"/>
      <c r="V616" s="16"/>
      <c r="W616" s="16"/>
      <c r="X616" s="16"/>
      <c r="Y616" s="16"/>
      <c r="Z616" s="16"/>
      <c r="AA616" s="16"/>
      <c r="AB616" s="16"/>
      <c r="AC616" s="16"/>
      <c r="AD616" s="16"/>
    </row>
    <row r="617" spans="2:30" ht="15.75" customHeight="1">
      <c r="B617" s="14"/>
      <c r="C617" s="14"/>
      <c r="D617" s="14"/>
      <c r="E617" s="14"/>
      <c r="F617" s="14"/>
      <c r="G617" s="14"/>
      <c r="H617" s="14"/>
      <c r="I617" s="14"/>
      <c r="J617" s="14"/>
      <c r="K617" s="14"/>
      <c r="L617" s="14"/>
      <c r="M617" s="14"/>
      <c r="N617" s="14"/>
      <c r="O617" s="16"/>
      <c r="P617" s="16"/>
      <c r="Q617" s="16"/>
      <c r="R617" s="16"/>
      <c r="S617" s="16"/>
      <c r="T617" s="16"/>
      <c r="U617" s="16"/>
      <c r="V617" s="16"/>
      <c r="W617" s="16"/>
      <c r="X617" s="16"/>
      <c r="Y617" s="16"/>
      <c r="Z617" s="16"/>
      <c r="AA617" s="16"/>
      <c r="AB617" s="16"/>
      <c r="AC617" s="16"/>
      <c r="AD617" s="16"/>
    </row>
    <row r="618" spans="2:30" ht="15.75" customHeight="1">
      <c r="B618" s="14"/>
      <c r="C618" s="14"/>
      <c r="D618" s="14"/>
      <c r="E618" s="14"/>
      <c r="F618" s="14"/>
      <c r="G618" s="14"/>
      <c r="H618" s="14"/>
      <c r="I618" s="14"/>
      <c r="J618" s="14"/>
      <c r="K618" s="14"/>
      <c r="L618" s="14"/>
      <c r="M618" s="14"/>
      <c r="N618" s="14"/>
      <c r="O618" s="16"/>
      <c r="P618" s="16"/>
      <c r="Q618" s="16"/>
      <c r="R618" s="16"/>
      <c r="S618" s="16"/>
      <c r="T618" s="16"/>
      <c r="U618" s="16"/>
      <c r="V618" s="16"/>
      <c r="W618" s="16"/>
      <c r="X618" s="16"/>
      <c r="Y618" s="16"/>
      <c r="Z618" s="16"/>
      <c r="AA618" s="16"/>
      <c r="AB618" s="16"/>
      <c r="AC618" s="16"/>
      <c r="AD618" s="16"/>
    </row>
    <row r="619" spans="2:30" ht="15.75" customHeight="1">
      <c r="B619" s="14"/>
      <c r="C619" s="14"/>
      <c r="D619" s="14"/>
      <c r="E619" s="14"/>
      <c r="F619" s="14"/>
      <c r="G619" s="14"/>
      <c r="H619" s="14"/>
      <c r="I619" s="14"/>
      <c r="J619" s="14"/>
      <c r="K619" s="14"/>
      <c r="L619" s="14"/>
      <c r="M619" s="14"/>
      <c r="N619" s="14"/>
      <c r="O619" s="16"/>
      <c r="P619" s="16"/>
      <c r="Q619" s="16"/>
      <c r="R619" s="16"/>
      <c r="S619" s="16"/>
      <c r="T619" s="16"/>
      <c r="U619" s="16"/>
      <c r="V619" s="16"/>
      <c r="W619" s="16"/>
      <c r="X619" s="16"/>
      <c r="Y619" s="16"/>
      <c r="Z619" s="16"/>
      <c r="AA619" s="16"/>
      <c r="AB619" s="16"/>
      <c r="AC619" s="16"/>
      <c r="AD619" s="16"/>
    </row>
    <row r="620" spans="2:30" ht="15.75" customHeight="1">
      <c r="B620" s="14"/>
      <c r="C620" s="14"/>
      <c r="D620" s="14"/>
      <c r="E620" s="14"/>
      <c r="F620" s="14"/>
      <c r="G620" s="14"/>
      <c r="H620" s="14"/>
      <c r="I620" s="14"/>
      <c r="J620" s="14"/>
      <c r="K620" s="14"/>
      <c r="L620" s="14"/>
      <c r="M620" s="14"/>
      <c r="N620" s="14"/>
      <c r="O620" s="16"/>
      <c r="P620" s="16"/>
      <c r="Q620" s="16"/>
      <c r="R620" s="16"/>
      <c r="S620" s="16"/>
      <c r="T620" s="16"/>
      <c r="U620" s="16"/>
      <c r="V620" s="16"/>
      <c r="W620" s="16"/>
      <c r="X620" s="16"/>
      <c r="Y620" s="16"/>
      <c r="Z620" s="16"/>
      <c r="AA620" s="16"/>
      <c r="AB620" s="16"/>
      <c r="AC620" s="16"/>
      <c r="AD620" s="16"/>
    </row>
    <row r="621" spans="2:30" ht="15.75" customHeight="1">
      <c r="B621" s="14"/>
      <c r="C621" s="14"/>
      <c r="D621" s="14"/>
      <c r="E621" s="14"/>
      <c r="F621" s="14"/>
      <c r="G621" s="14"/>
      <c r="H621" s="14"/>
      <c r="I621" s="14"/>
      <c r="J621" s="14"/>
      <c r="K621" s="14"/>
      <c r="L621" s="14"/>
      <c r="M621" s="14"/>
      <c r="N621" s="14"/>
      <c r="O621" s="16"/>
      <c r="P621" s="16"/>
      <c r="Q621" s="16"/>
      <c r="R621" s="16"/>
      <c r="S621" s="16"/>
      <c r="T621" s="16"/>
      <c r="U621" s="16"/>
      <c r="V621" s="16"/>
      <c r="W621" s="16"/>
      <c r="X621" s="16"/>
      <c r="Y621" s="16"/>
      <c r="Z621" s="16"/>
      <c r="AA621" s="16"/>
      <c r="AB621" s="16"/>
      <c r="AC621" s="16"/>
      <c r="AD621" s="16"/>
    </row>
    <row r="622" spans="2:30" ht="15.75" customHeight="1">
      <c r="B622" s="14"/>
      <c r="C622" s="14"/>
      <c r="D622" s="14"/>
      <c r="E622" s="14"/>
      <c r="F622" s="14"/>
      <c r="G622" s="14"/>
      <c r="H622" s="14"/>
      <c r="I622" s="14"/>
      <c r="J622" s="14"/>
      <c r="K622" s="14"/>
      <c r="L622" s="14"/>
      <c r="M622" s="14"/>
      <c r="N622" s="14"/>
      <c r="O622" s="16"/>
      <c r="P622" s="16"/>
      <c r="Q622" s="16"/>
      <c r="R622" s="16"/>
      <c r="S622" s="16"/>
      <c r="T622" s="16"/>
      <c r="U622" s="16"/>
      <c r="V622" s="16"/>
      <c r="W622" s="16"/>
      <c r="X622" s="16"/>
      <c r="Y622" s="16"/>
      <c r="Z622" s="16"/>
      <c r="AA622" s="16"/>
      <c r="AB622" s="16"/>
      <c r="AC622" s="16"/>
      <c r="AD622" s="16"/>
    </row>
    <row r="623" spans="2:30" ht="15.75" customHeight="1">
      <c r="B623" s="14"/>
      <c r="C623" s="14"/>
      <c r="D623" s="14"/>
      <c r="E623" s="14"/>
      <c r="F623" s="14"/>
      <c r="G623" s="14"/>
      <c r="H623" s="14"/>
      <c r="I623" s="14"/>
      <c r="J623" s="14"/>
      <c r="K623" s="14"/>
      <c r="L623" s="14"/>
      <c r="M623" s="14"/>
      <c r="N623" s="14"/>
      <c r="O623" s="16"/>
      <c r="P623" s="16"/>
      <c r="Q623" s="16"/>
      <c r="R623" s="16"/>
      <c r="S623" s="16"/>
      <c r="T623" s="16"/>
      <c r="U623" s="16"/>
      <c r="V623" s="16"/>
      <c r="W623" s="16"/>
      <c r="X623" s="16"/>
      <c r="Y623" s="16"/>
      <c r="Z623" s="16"/>
      <c r="AA623" s="16"/>
      <c r="AB623" s="16"/>
      <c r="AC623" s="16"/>
      <c r="AD623" s="16"/>
    </row>
    <row r="624" spans="2:30" ht="15.75" customHeight="1">
      <c r="B624" s="14"/>
      <c r="C624" s="14"/>
      <c r="D624" s="14"/>
      <c r="E624" s="14"/>
      <c r="F624" s="14"/>
      <c r="G624" s="14"/>
      <c r="H624" s="14"/>
      <c r="I624" s="14"/>
      <c r="J624" s="14"/>
      <c r="K624" s="14"/>
      <c r="L624" s="14"/>
      <c r="M624" s="14"/>
      <c r="N624" s="14"/>
      <c r="O624" s="16"/>
      <c r="P624" s="16"/>
      <c r="Q624" s="16"/>
      <c r="R624" s="16"/>
      <c r="S624" s="16"/>
      <c r="T624" s="16"/>
      <c r="U624" s="16"/>
      <c r="V624" s="16"/>
      <c r="W624" s="16"/>
      <c r="X624" s="16"/>
      <c r="Y624" s="16"/>
      <c r="Z624" s="16"/>
      <c r="AA624" s="16"/>
      <c r="AB624" s="16"/>
      <c r="AC624" s="16"/>
      <c r="AD624" s="16"/>
    </row>
    <row r="625" spans="2:30" ht="15.75" customHeight="1">
      <c r="B625" s="14"/>
      <c r="C625" s="14"/>
      <c r="D625" s="14"/>
      <c r="E625" s="14"/>
      <c r="F625" s="14"/>
      <c r="G625" s="14"/>
      <c r="H625" s="14"/>
      <c r="I625" s="14"/>
      <c r="J625" s="14"/>
      <c r="K625" s="14"/>
      <c r="L625" s="14"/>
      <c r="M625" s="14"/>
      <c r="N625" s="14"/>
      <c r="O625" s="16"/>
      <c r="P625" s="16"/>
      <c r="Q625" s="16"/>
      <c r="R625" s="16"/>
      <c r="S625" s="16"/>
      <c r="T625" s="16"/>
      <c r="U625" s="16"/>
      <c r="V625" s="16"/>
      <c r="W625" s="16"/>
      <c r="X625" s="16"/>
      <c r="Y625" s="16"/>
      <c r="Z625" s="16"/>
      <c r="AA625" s="16"/>
      <c r="AB625" s="16"/>
      <c r="AC625" s="16"/>
      <c r="AD625" s="16"/>
    </row>
    <row r="626" spans="2:30" ht="15.75" customHeight="1">
      <c r="B626" s="14"/>
      <c r="C626" s="14"/>
      <c r="D626" s="14"/>
      <c r="E626" s="14"/>
      <c r="F626" s="14"/>
      <c r="G626" s="14"/>
      <c r="H626" s="14"/>
      <c r="I626" s="14"/>
      <c r="J626" s="14"/>
      <c r="K626" s="14"/>
      <c r="L626" s="14"/>
      <c r="M626" s="14"/>
      <c r="N626" s="14"/>
      <c r="O626" s="16"/>
      <c r="P626" s="16"/>
      <c r="Q626" s="16"/>
      <c r="R626" s="16"/>
      <c r="S626" s="16"/>
      <c r="T626" s="16"/>
      <c r="U626" s="16"/>
      <c r="V626" s="16"/>
      <c r="W626" s="16"/>
      <c r="X626" s="16"/>
      <c r="Y626" s="16"/>
      <c r="Z626" s="16"/>
      <c r="AA626" s="16"/>
      <c r="AB626" s="16"/>
      <c r="AC626" s="16"/>
      <c r="AD626" s="16"/>
    </row>
    <row r="627" spans="2:30" ht="15.75" customHeight="1">
      <c r="B627" s="14"/>
      <c r="C627" s="14"/>
      <c r="D627" s="14"/>
      <c r="E627" s="14"/>
      <c r="F627" s="14"/>
      <c r="G627" s="14"/>
      <c r="H627" s="14"/>
      <c r="I627" s="14"/>
      <c r="J627" s="14"/>
      <c r="K627" s="14"/>
      <c r="L627" s="14"/>
      <c r="M627" s="14"/>
      <c r="N627" s="14"/>
      <c r="O627" s="16"/>
      <c r="P627" s="16"/>
      <c r="Q627" s="16"/>
      <c r="R627" s="16"/>
      <c r="S627" s="16"/>
      <c r="T627" s="16"/>
      <c r="U627" s="16"/>
      <c r="V627" s="16"/>
      <c r="W627" s="16"/>
      <c r="X627" s="16"/>
      <c r="Y627" s="16"/>
      <c r="Z627" s="16"/>
      <c r="AA627" s="16"/>
      <c r="AB627" s="16"/>
      <c r="AC627" s="16"/>
      <c r="AD627" s="16"/>
    </row>
    <row r="628" spans="2:30" ht="15.75" customHeight="1">
      <c r="B628" s="14"/>
      <c r="C628" s="14"/>
      <c r="D628" s="14"/>
      <c r="E628" s="14"/>
      <c r="F628" s="14"/>
      <c r="G628" s="14"/>
      <c r="H628" s="14"/>
      <c r="I628" s="14"/>
      <c r="J628" s="14"/>
      <c r="K628" s="14"/>
      <c r="L628" s="14"/>
      <c r="M628" s="14"/>
      <c r="N628" s="14"/>
      <c r="O628" s="16"/>
      <c r="P628" s="16"/>
      <c r="Q628" s="16"/>
      <c r="R628" s="16"/>
      <c r="S628" s="16"/>
      <c r="T628" s="16"/>
      <c r="U628" s="16"/>
      <c r="V628" s="16"/>
      <c r="W628" s="16"/>
      <c r="X628" s="16"/>
      <c r="Y628" s="16"/>
      <c r="Z628" s="16"/>
      <c r="AA628" s="16"/>
      <c r="AB628" s="16"/>
      <c r="AC628" s="16"/>
      <c r="AD628" s="16"/>
    </row>
    <row r="629" spans="2:30" ht="15.75" customHeight="1">
      <c r="B629" s="14"/>
      <c r="C629" s="14"/>
      <c r="D629" s="14"/>
      <c r="E629" s="14"/>
      <c r="F629" s="14"/>
      <c r="G629" s="14"/>
      <c r="H629" s="14"/>
      <c r="I629" s="14"/>
      <c r="J629" s="14"/>
      <c r="K629" s="14"/>
      <c r="L629" s="14"/>
      <c r="M629" s="14"/>
      <c r="N629" s="14"/>
      <c r="O629" s="16"/>
      <c r="P629" s="16"/>
      <c r="Q629" s="16"/>
      <c r="R629" s="16"/>
      <c r="S629" s="16"/>
      <c r="T629" s="16"/>
      <c r="U629" s="16"/>
      <c r="V629" s="16"/>
      <c r="W629" s="16"/>
      <c r="X629" s="16"/>
      <c r="Y629" s="16"/>
      <c r="Z629" s="16"/>
      <c r="AA629" s="16"/>
      <c r="AB629" s="16"/>
      <c r="AC629" s="16"/>
      <c r="AD629" s="16"/>
    </row>
    <row r="630" spans="2:30" ht="15.75" customHeight="1">
      <c r="B630" s="14"/>
      <c r="C630" s="14"/>
      <c r="D630" s="14"/>
      <c r="E630" s="14"/>
      <c r="F630" s="14"/>
      <c r="G630" s="14"/>
      <c r="H630" s="14"/>
      <c r="I630" s="14"/>
      <c r="J630" s="14"/>
      <c r="K630" s="14"/>
      <c r="L630" s="14"/>
      <c r="M630" s="14"/>
      <c r="N630" s="14"/>
      <c r="O630" s="16"/>
      <c r="P630" s="16"/>
      <c r="Q630" s="16"/>
      <c r="R630" s="16"/>
      <c r="S630" s="16"/>
      <c r="T630" s="16"/>
      <c r="U630" s="16"/>
      <c r="V630" s="16"/>
      <c r="W630" s="16"/>
      <c r="X630" s="16"/>
      <c r="Y630" s="16"/>
      <c r="Z630" s="16"/>
      <c r="AA630" s="16"/>
      <c r="AB630" s="16"/>
      <c r="AC630" s="16"/>
      <c r="AD630" s="16"/>
    </row>
    <row r="631" spans="2:30" ht="15.75" customHeight="1">
      <c r="B631" s="14"/>
      <c r="C631" s="14"/>
      <c r="D631" s="14"/>
      <c r="E631" s="14"/>
      <c r="F631" s="14"/>
      <c r="G631" s="14"/>
      <c r="H631" s="14"/>
      <c r="I631" s="14"/>
      <c r="J631" s="14"/>
      <c r="K631" s="14"/>
      <c r="L631" s="14"/>
      <c r="M631" s="14"/>
      <c r="N631" s="14"/>
      <c r="O631" s="16"/>
      <c r="P631" s="16"/>
      <c r="Q631" s="16"/>
      <c r="R631" s="16"/>
      <c r="S631" s="16"/>
      <c r="T631" s="16"/>
      <c r="U631" s="16"/>
      <c r="V631" s="16"/>
      <c r="W631" s="16"/>
      <c r="X631" s="16"/>
      <c r="Y631" s="16"/>
      <c r="Z631" s="16"/>
      <c r="AA631" s="16"/>
      <c r="AB631" s="16"/>
      <c r="AC631" s="16"/>
      <c r="AD631" s="16"/>
    </row>
    <row r="632" spans="2:30" ht="15.75" customHeight="1">
      <c r="B632" s="14"/>
      <c r="C632" s="14"/>
      <c r="D632" s="14"/>
      <c r="E632" s="14"/>
      <c r="F632" s="14"/>
      <c r="G632" s="14"/>
      <c r="H632" s="14"/>
      <c r="I632" s="14"/>
      <c r="J632" s="14"/>
      <c r="K632" s="14"/>
      <c r="L632" s="14"/>
      <c r="M632" s="14"/>
      <c r="N632" s="14"/>
      <c r="O632" s="16"/>
      <c r="P632" s="16"/>
      <c r="Q632" s="16"/>
      <c r="R632" s="16"/>
      <c r="S632" s="16"/>
      <c r="T632" s="16"/>
      <c r="U632" s="16"/>
      <c r="V632" s="16"/>
      <c r="W632" s="16"/>
      <c r="X632" s="16"/>
      <c r="Y632" s="16"/>
      <c r="Z632" s="16"/>
      <c r="AA632" s="16"/>
      <c r="AB632" s="16"/>
      <c r="AC632" s="16"/>
      <c r="AD632" s="16"/>
    </row>
    <row r="633" spans="2:30" ht="15.75" customHeight="1">
      <c r="B633" s="14"/>
      <c r="C633" s="14"/>
      <c r="D633" s="14"/>
      <c r="E633" s="14"/>
      <c r="F633" s="14"/>
      <c r="G633" s="14"/>
      <c r="H633" s="14"/>
      <c r="I633" s="14"/>
      <c r="J633" s="14"/>
      <c r="K633" s="14"/>
      <c r="L633" s="14"/>
      <c r="M633" s="14"/>
      <c r="N633" s="14"/>
      <c r="O633" s="16"/>
      <c r="P633" s="16"/>
      <c r="Q633" s="16"/>
      <c r="R633" s="16"/>
      <c r="S633" s="16"/>
      <c r="T633" s="16"/>
      <c r="U633" s="16"/>
      <c r="V633" s="16"/>
      <c r="W633" s="16"/>
      <c r="X633" s="16"/>
      <c r="Y633" s="16"/>
      <c r="Z633" s="16"/>
      <c r="AA633" s="16"/>
      <c r="AB633" s="16"/>
      <c r="AC633" s="16"/>
      <c r="AD633" s="16"/>
    </row>
    <row r="634" spans="2:30" ht="15.75" customHeight="1">
      <c r="B634" s="14"/>
      <c r="C634" s="14"/>
      <c r="D634" s="14"/>
      <c r="E634" s="14"/>
      <c r="F634" s="14"/>
      <c r="G634" s="14"/>
      <c r="H634" s="14"/>
      <c r="I634" s="14"/>
      <c r="J634" s="14"/>
      <c r="K634" s="14"/>
      <c r="L634" s="14"/>
      <c r="M634" s="14"/>
      <c r="N634" s="14"/>
      <c r="O634" s="16"/>
      <c r="P634" s="16"/>
      <c r="Q634" s="16"/>
      <c r="R634" s="16"/>
      <c r="S634" s="16"/>
      <c r="T634" s="16"/>
      <c r="U634" s="16"/>
      <c r="V634" s="16"/>
      <c r="W634" s="16"/>
      <c r="X634" s="16"/>
      <c r="Y634" s="16"/>
      <c r="Z634" s="16"/>
      <c r="AA634" s="16"/>
      <c r="AB634" s="16"/>
      <c r="AC634" s="16"/>
      <c r="AD634" s="16"/>
    </row>
    <row r="635" spans="2:30" ht="15.75" customHeight="1">
      <c r="B635" s="14"/>
      <c r="C635" s="14"/>
      <c r="D635" s="14"/>
      <c r="E635" s="14"/>
      <c r="F635" s="14"/>
      <c r="G635" s="14"/>
      <c r="H635" s="14"/>
      <c r="I635" s="14"/>
      <c r="J635" s="14"/>
      <c r="K635" s="14"/>
      <c r="L635" s="14"/>
      <c r="M635" s="14"/>
      <c r="N635" s="14"/>
      <c r="O635" s="16"/>
      <c r="P635" s="16"/>
      <c r="Q635" s="16"/>
      <c r="R635" s="16"/>
      <c r="S635" s="16"/>
      <c r="T635" s="16"/>
      <c r="U635" s="16"/>
      <c r="V635" s="16"/>
      <c r="W635" s="16"/>
      <c r="X635" s="16"/>
      <c r="Y635" s="16"/>
      <c r="Z635" s="16"/>
      <c r="AA635" s="16"/>
      <c r="AB635" s="16"/>
      <c r="AC635" s="16"/>
      <c r="AD635" s="16"/>
    </row>
    <row r="636" spans="2:30" ht="15.75" customHeight="1">
      <c r="B636" s="14"/>
      <c r="C636" s="14"/>
      <c r="D636" s="14"/>
      <c r="E636" s="14"/>
      <c r="F636" s="14"/>
      <c r="G636" s="14"/>
      <c r="H636" s="14"/>
      <c r="I636" s="14"/>
      <c r="J636" s="14"/>
      <c r="K636" s="14"/>
      <c r="L636" s="14"/>
      <c r="M636" s="14"/>
      <c r="N636" s="14"/>
      <c r="O636" s="16"/>
      <c r="P636" s="16"/>
      <c r="Q636" s="16"/>
      <c r="R636" s="16"/>
      <c r="S636" s="16"/>
      <c r="T636" s="16"/>
      <c r="U636" s="16"/>
      <c r="V636" s="16"/>
      <c r="W636" s="16"/>
      <c r="X636" s="16"/>
      <c r="Y636" s="16"/>
      <c r="Z636" s="16"/>
      <c r="AA636" s="16"/>
      <c r="AB636" s="16"/>
      <c r="AC636" s="16"/>
      <c r="AD636" s="16"/>
    </row>
    <row r="637" spans="2:30" ht="15.75" customHeight="1">
      <c r="B637" s="14"/>
      <c r="C637" s="14"/>
      <c r="D637" s="14"/>
      <c r="E637" s="14"/>
      <c r="F637" s="14"/>
      <c r="G637" s="14"/>
      <c r="H637" s="14"/>
      <c r="I637" s="14"/>
      <c r="J637" s="14"/>
      <c r="K637" s="14"/>
      <c r="L637" s="14"/>
      <c r="M637" s="14"/>
      <c r="N637" s="14"/>
      <c r="O637" s="16"/>
      <c r="P637" s="16"/>
      <c r="Q637" s="16"/>
      <c r="R637" s="16"/>
      <c r="S637" s="16"/>
      <c r="T637" s="16"/>
      <c r="U637" s="16"/>
      <c r="V637" s="16"/>
      <c r="W637" s="16"/>
      <c r="X637" s="16"/>
      <c r="Y637" s="16"/>
      <c r="Z637" s="16"/>
      <c r="AA637" s="16"/>
      <c r="AB637" s="16"/>
      <c r="AC637" s="16"/>
      <c r="AD637" s="16"/>
    </row>
    <row r="638" spans="2:30" ht="15.75" customHeight="1">
      <c r="B638" s="14"/>
      <c r="C638" s="14"/>
      <c r="D638" s="14"/>
      <c r="E638" s="14"/>
      <c r="F638" s="14"/>
      <c r="G638" s="14"/>
      <c r="H638" s="14"/>
      <c r="I638" s="14"/>
      <c r="J638" s="14"/>
      <c r="K638" s="14"/>
      <c r="L638" s="14"/>
      <c r="M638" s="14"/>
      <c r="N638" s="14"/>
      <c r="O638" s="16"/>
      <c r="P638" s="16"/>
      <c r="Q638" s="16"/>
      <c r="R638" s="16"/>
      <c r="S638" s="16"/>
      <c r="T638" s="16"/>
      <c r="U638" s="16"/>
      <c r="V638" s="16"/>
      <c r="W638" s="16"/>
      <c r="X638" s="16"/>
      <c r="Y638" s="16"/>
      <c r="Z638" s="16"/>
      <c r="AA638" s="16"/>
      <c r="AB638" s="16"/>
      <c r="AC638" s="16"/>
      <c r="AD638" s="16"/>
    </row>
    <row r="639" spans="2:30" ht="15.75" customHeight="1">
      <c r="B639" s="14"/>
      <c r="C639" s="14"/>
      <c r="D639" s="14"/>
      <c r="E639" s="14"/>
      <c r="F639" s="14"/>
      <c r="G639" s="14"/>
      <c r="H639" s="14"/>
      <c r="I639" s="14"/>
      <c r="J639" s="14"/>
      <c r="K639" s="14"/>
      <c r="L639" s="14"/>
      <c r="M639" s="14"/>
      <c r="N639" s="14"/>
      <c r="O639" s="16"/>
      <c r="P639" s="16"/>
      <c r="Q639" s="16"/>
      <c r="R639" s="16"/>
      <c r="S639" s="16"/>
      <c r="T639" s="16"/>
      <c r="U639" s="16"/>
      <c r="V639" s="16"/>
      <c r="W639" s="16"/>
      <c r="X639" s="16"/>
      <c r="Y639" s="16"/>
      <c r="Z639" s="16"/>
      <c r="AA639" s="16"/>
      <c r="AB639" s="16"/>
      <c r="AC639" s="16"/>
      <c r="AD639" s="16"/>
    </row>
    <row r="640" spans="2:30" ht="15.75" customHeight="1">
      <c r="B640" s="14"/>
      <c r="C640" s="14"/>
      <c r="D640" s="14"/>
      <c r="E640" s="14"/>
      <c r="F640" s="14"/>
      <c r="G640" s="14"/>
      <c r="H640" s="14"/>
      <c r="I640" s="14"/>
      <c r="J640" s="14"/>
      <c r="K640" s="14"/>
      <c r="L640" s="14"/>
      <c r="M640" s="14"/>
      <c r="N640" s="14"/>
      <c r="O640" s="16"/>
      <c r="P640" s="16"/>
      <c r="Q640" s="16"/>
      <c r="R640" s="16"/>
      <c r="S640" s="16"/>
      <c r="T640" s="16"/>
      <c r="U640" s="16"/>
      <c r="V640" s="16"/>
      <c r="W640" s="16"/>
      <c r="X640" s="16"/>
      <c r="Y640" s="16"/>
      <c r="Z640" s="16"/>
      <c r="AA640" s="16"/>
      <c r="AB640" s="16"/>
      <c r="AC640" s="16"/>
      <c r="AD640" s="16"/>
    </row>
    <row r="641" spans="2:30" ht="15.75" customHeight="1">
      <c r="B641" s="14"/>
      <c r="C641" s="14"/>
      <c r="D641" s="14"/>
      <c r="E641" s="14"/>
      <c r="F641" s="14"/>
      <c r="G641" s="14"/>
      <c r="H641" s="14"/>
      <c r="I641" s="14"/>
      <c r="J641" s="14"/>
      <c r="K641" s="14"/>
      <c r="L641" s="14"/>
      <c r="M641" s="14"/>
      <c r="N641" s="14"/>
      <c r="O641" s="16"/>
      <c r="P641" s="16"/>
      <c r="Q641" s="16"/>
      <c r="R641" s="16"/>
      <c r="S641" s="16"/>
      <c r="T641" s="16"/>
      <c r="U641" s="16"/>
      <c r="V641" s="16"/>
      <c r="W641" s="16"/>
      <c r="X641" s="16"/>
      <c r="Y641" s="16"/>
      <c r="Z641" s="16"/>
      <c r="AA641" s="16"/>
      <c r="AB641" s="16"/>
      <c r="AC641" s="16"/>
      <c r="AD641" s="16"/>
    </row>
    <row r="642" spans="2:30" ht="15.75" customHeight="1">
      <c r="B642" s="14"/>
      <c r="C642" s="14"/>
      <c r="D642" s="14"/>
      <c r="E642" s="14"/>
      <c r="F642" s="14"/>
      <c r="G642" s="14"/>
      <c r="H642" s="14"/>
      <c r="I642" s="14"/>
      <c r="J642" s="14"/>
      <c r="K642" s="14"/>
      <c r="L642" s="14"/>
      <c r="M642" s="14"/>
      <c r="N642" s="14"/>
      <c r="O642" s="16"/>
      <c r="P642" s="16"/>
      <c r="Q642" s="16"/>
      <c r="R642" s="16"/>
      <c r="S642" s="16"/>
      <c r="T642" s="16"/>
      <c r="U642" s="16"/>
      <c r="V642" s="16"/>
      <c r="W642" s="16"/>
      <c r="X642" s="16"/>
      <c r="Y642" s="16"/>
      <c r="Z642" s="16"/>
      <c r="AA642" s="16"/>
      <c r="AB642" s="16"/>
      <c r="AC642" s="16"/>
      <c r="AD642" s="16"/>
    </row>
    <row r="643" spans="2:30" ht="15.75" customHeight="1">
      <c r="B643" s="14"/>
      <c r="C643" s="14"/>
      <c r="D643" s="14"/>
      <c r="E643" s="14"/>
      <c r="F643" s="14"/>
      <c r="G643" s="14"/>
      <c r="H643" s="14"/>
      <c r="I643" s="14"/>
      <c r="J643" s="14"/>
      <c r="K643" s="14"/>
      <c r="L643" s="14"/>
      <c r="M643" s="14"/>
      <c r="N643" s="14"/>
      <c r="O643" s="16"/>
      <c r="P643" s="16"/>
      <c r="Q643" s="16"/>
      <c r="R643" s="16"/>
      <c r="S643" s="16"/>
      <c r="T643" s="16"/>
      <c r="U643" s="16"/>
      <c r="V643" s="16"/>
      <c r="W643" s="16"/>
      <c r="X643" s="16"/>
      <c r="Y643" s="16"/>
      <c r="Z643" s="16"/>
      <c r="AA643" s="16"/>
      <c r="AB643" s="16"/>
      <c r="AC643" s="16"/>
      <c r="AD643" s="16"/>
    </row>
    <row r="644" spans="2:30" ht="15.75" customHeight="1">
      <c r="B644" s="14"/>
      <c r="C644" s="14"/>
      <c r="D644" s="14"/>
      <c r="E644" s="14"/>
      <c r="F644" s="14"/>
      <c r="G644" s="14"/>
      <c r="H644" s="14"/>
      <c r="I644" s="14"/>
      <c r="J644" s="14"/>
      <c r="K644" s="14"/>
      <c r="L644" s="14"/>
      <c r="M644" s="14"/>
      <c r="N644" s="14"/>
      <c r="O644" s="16"/>
      <c r="P644" s="16"/>
      <c r="Q644" s="16"/>
      <c r="R644" s="16"/>
      <c r="S644" s="16"/>
      <c r="T644" s="16"/>
      <c r="U644" s="16"/>
      <c r="V644" s="16"/>
      <c r="W644" s="16"/>
      <c r="X644" s="16"/>
      <c r="Y644" s="16"/>
      <c r="Z644" s="16"/>
      <c r="AA644" s="16"/>
      <c r="AB644" s="16"/>
      <c r="AC644" s="16"/>
      <c r="AD644" s="16"/>
    </row>
    <row r="645" spans="2:30" ht="15.75" customHeight="1">
      <c r="B645" s="14"/>
      <c r="C645" s="14"/>
      <c r="D645" s="14"/>
      <c r="E645" s="14"/>
      <c r="F645" s="14"/>
      <c r="G645" s="14"/>
      <c r="H645" s="14"/>
      <c r="I645" s="14"/>
      <c r="J645" s="14"/>
      <c r="K645" s="14"/>
      <c r="L645" s="14"/>
      <c r="M645" s="14"/>
      <c r="N645" s="14"/>
      <c r="O645" s="16"/>
      <c r="P645" s="16"/>
      <c r="Q645" s="16"/>
      <c r="R645" s="16"/>
      <c r="S645" s="16"/>
      <c r="T645" s="16"/>
      <c r="U645" s="16"/>
      <c r="V645" s="16"/>
      <c r="W645" s="16"/>
      <c r="X645" s="16"/>
      <c r="Y645" s="16"/>
      <c r="Z645" s="16"/>
      <c r="AA645" s="16"/>
      <c r="AB645" s="16"/>
      <c r="AC645" s="16"/>
      <c r="AD645" s="16"/>
    </row>
    <row r="646" spans="2:30" ht="15.75" customHeight="1">
      <c r="B646" s="14"/>
      <c r="C646" s="14"/>
      <c r="D646" s="14"/>
      <c r="E646" s="14"/>
      <c r="F646" s="14"/>
      <c r="G646" s="14"/>
      <c r="H646" s="14"/>
      <c r="I646" s="14"/>
      <c r="J646" s="14"/>
      <c r="K646" s="14"/>
      <c r="L646" s="14"/>
      <c r="M646" s="14"/>
      <c r="N646" s="14"/>
      <c r="O646" s="16"/>
      <c r="P646" s="16"/>
      <c r="Q646" s="16"/>
      <c r="R646" s="16"/>
      <c r="S646" s="16"/>
      <c r="T646" s="16"/>
      <c r="U646" s="16"/>
      <c r="V646" s="16"/>
      <c r="W646" s="16"/>
      <c r="X646" s="16"/>
      <c r="Y646" s="16"/>
      <c r="Z646" s="16"/>
      <c r="AA646" s="16"/>
      <c r="AB646" s="16"/>
      <c r="AC646" s="16"/>
      <c r="AD646" s="16"/>
    </row>
    <row r="647" spans="2:30" ht="15.75" customHeight="1">
      <c r="B647" s="14"/>
      <c r="C647" s="14"/>
      <c r="D647" s="14"/>
      <c r="E647" s="14"/>
      <c r="F647" s="14"/>
      <c r="G647" s="14"/>
      <c r="H647" s="14"/>
      <c r="I647" s="14"/>
      <c r="J647" s="14"/>
      <c r="K647" s="14"/>
      <c r="L647" s="14"/>
      <c r="M647" s="14"/>
      <c r="N647" s="14"/>
      <c r="O647" s="16"/>
      <c r="P647" s="16"/>
      <c r="Q647" s="16"/>
      <c r="R647" s="16"/>
      <c r="S647" s="16"/>
      <c r="T647" s="16"/>
      <c r="U647" s="16"/>
      <c r="V647" s="16"/>
      <c r="W647" s="16"/>
      <c r="X647" s="16"/>
      <c r="Y647" s="16"/>
      <c r="Z647" s="16"/>
      <c r="AA647" s="16"/>
      <c r="AB647" s="16"/>
      <c r="AC647" s="16"/>
      <c r="AD647" s="16"/>
    </row>
    <row r="648" spans="2:30" ht="15.75" customHeight="1">
      <c r="B648" s="14"/>
      <c r="C648" s="14"/>
      <c r="D648" s="14"/>
      <c r="E648" s="14"/>
      <c r="F648" s="14"/>
      <c r="G648" s="14"/>
      <c r="H648" s="14"/>
      <c r="I648" s="14"/>
      <c r="J648" s="14"/>
      <c r="K648" s="14"/>
      <c r="L648" s="14"/>
      <c r="M648" s="14"/>
      <c r="N648" s="14"/>
      <c r="O648" s="16"/>
      <c r="P648" s="16"/>
      <c r="Q648" s="16"/>
      <c r="R648" s="16"/>
      <c r="S648" s="16"/>
      <c r="T648" s="16"/>
      <c r="U648" s="16"/>
      <c r="V648" s="16"/>
      <c r="W648" s="16"/>
      <c r="X648" s="16"/>
      <c r="Y648" s="16"/>
      <c r="Z648" s="16"/>
      <c r="AA648" s="16"/>
      <c r="AB648" s="16"/>
      <c r="AC648" s="16"/>
      <c r="AD648" s="16"/>
    </row>
    <row r="649" spans="2:30" ht="15.75" customHeight="1">
      <c r="B649" s="14"/>
      <c r="C649" s="14"/>
      <c r="D649" s="14"/>
      <c r="E649" s="14"/>
      <c r="F649" s="14"/>
      <c r="G649" s="14"/>
      <c r="H649" s="14"/>
      <c r="I649" s="14"/>
      <c r="J649" s="14"/>
      <c r="K649" s="14"/>
      <c r="L649" s="14"/>
      <c r="M649" s="14"/>
      <c r="N649" s="14"/>
      <c r="O649" s="16"/>
      <c r="P649" s="16"/>
      <c r="Q649" s="16"/>
      <c r="R649" s="16"/>
      <c r="S649" s="16"/>
      <c r="T649" s="16"/>
      <c r="U649" s="16"/>
      <c r="V649" s="16"/>
      <c r="W649" s="16"/>
      <c r="X649" s="16"/>
      <c r="Y649" s="16"/>
      <c r="Z649" s="16"/>
      <c r="AA649" s="16"/>
      <c r="AB649" s="16"/>
      <c r="AC649" s="16"/>
      <c r="AD649" s="16"/>
    </row>
    <row r="650" spans="2:30" ht="15.75" customHeight="1">
      <c r="B650" s="14"/>
      <c r="C650" s="14"/>
      <c r="D650" s="14"/>
      <c r="E650" s="14"/>
      <c r="F650" s="14"/>
      <c r="G650" s="14"/>
      <c r="H650" s="14"/>
      <c r="I650" s="14"/>
      <c r="J650" s="14"/>
      <c r="K650" s="14"/>
      <c r="L650" s="14"/>
      <c r="M650" s="14"/>
      <c r="N650" s="14"/>
      <c r="O650" s="16"/>
      <c r="P650" s="16"/>
      <c r="Q650" s="16"/>
      <c r="R650" s="16"/>
      <c r="S650" s="16"/>
      <c r="T650" s="16"/>
      <c r="U650" s="16"/>
      <c r="V650" s="16"/>
      <c r="W650" s="16"/>
      <c r="X650" s="16"/>
      <c r="Y650" s="16"/>
      <c r="Z650" s="16"/>
      <c r="AA650" s="16"/>
      <c r="AB650" s="16"/>
      <c r="AC650" s="16"/>
      <c r="AD650" s="16"/>
    </row>
    <row r="651" spans="2:30" ht="15.75" customHeight="1">
      <c r="B651" s="14"/>
      <c r="C651" s="14"/>
      <c r="D651" s="14"/>
      <c r="E651" s="14"/>
      <c r="F651" s="14"/>
      <c r="G651" s="14"/>
      <c r="H651" s="14"/>
      <c r="I651" s="14"/>
      <c r="J651" s="14"/>
      <c r="K651" s="14"/>
      <c r="L651" s="14"/>
      <c r="M651" s="14"/>
      <c r="N651" s="14"/>
      <c r="O651" s="16"/>
      <c r="P651" s="16"/>
      <c r="Q651" s="16"/>
      <c r="R651" s="16"/>
      <c r="S651" s="16"/>
      <c r="T651" s="16"/>
      <c r="U651" s="16"/>
      <c r="V651" s="16"/>
      <c r="W651" s="16"/>
      <c r="X651" s="16"/>
      <c r="Y651" s="16"/>
      <c r="Z651" s="16"/>
      <c r="AA651" s="16"/>
      <c r="AB651" s="16"/>
      <c r="AC651" s="16"/>
      <c r="AD651" s="16"/>
    </row>
    <row r="652" spans="2:30" ht="15.75" customHeight="1">
      <c r="B652" s="14"/>
      <c r="C652" s="14"/>
      <c r="D652" s="14"/>
      <c r="E652" s="14"/>
      <c r="F652" s="14"/>
      <c r="G652" s="14"/>
      <c r="H652" s="14"/>
      <c r="I652" s="14"/>
      <c r="J652" s="14"/>
      <c r="K652" s="14"/>
      <c r="L652" s="14"/>
      <c r="M652" s="14"/>
      <c r="N652" s="14"/>
      <c r="O652" s="16"/>
      <c r="P652" s="16"/>
      <c r="Q652" s="16"/>
      <c r="R652" s="16"/>
      <c r="S652" s="16"/>
      <c r="T652" s="16"/>
      <c r="U652" s="16"/>
      <c r="V652" s="16"/>
      <c r="W652" s="16"/>
      <c r="X652" s="16"/>
      <c r="Y652" s="16"/>
      <c r="Z652" s="16"/>
      <c r="AA652" s="16"/>
      <c r="AB652" s="16"/>
      <c r="AC652" s="16"/>
      <c r="AD652" s="16"/>
    </row>
    <row r="653" spans="2:30" ht="15.75" customHeight="1">
      <c r="B653" s="14"/>
      <c r="C653" s="14"/>
      <c r="D653" s="14"/>
      <c r="E653" s="14"/>
      <c r="F653" s="14"/>
      <c r="G653" s="14"/>
      <c r="H653" s="14"/>
      <c r="I653" s="14"/>
      <c r="J653" s="14"/>
      <c r="K653" s="14"/>
      <c r="L653" s="14"/>
      <c r="M653" s="14"/>
      <c r="N653" s="14"/>
      <c r="O653" s="16"/>
      <c r="P653" s="16"/>
      <c r="Q653" s="16"/>
      <c r="R653" s="16"/>
      <c r="S653" s="16"/>
      <c r="T653" s="16"/>
      <c r="U653" s="16"/>
      <c r="V653" s="16"/>
      <c r="W653" s="16"/>
      <c r="X653" s="16"/>
      <c r="Y653" s="16"/>
      <c r="Z653" s="16"/>
      <c r="AA653" s="16"/>
      <c r="AB653" s="16"/>
      <c r="AC653" s="16"/>
      <c r="AD653" s="16"/>
    </row>
    <row r="654" spans="2:30" ht="15.75" customHeight="1">
      <c r="B654" s="14"/>
      <c r="C654" s="14"/>
      <c r="D654" s="14"/>
      <c r="E654" s="14"/>
      <c r="F654" s="14"/>
      <c r="G654" s="14"/>
      <c r="H654" s="14"/>
      <c r="I654" s="14"/>
      <c r="J654" s="14"/>
      <c r="K654" s="14"/>
      <c r="L654" s="14"/>
      <c r="M654" s="14"/>
      <c r="N654" s="14"/>
      <c r="O654" s="16"/>
      <c r="P654" s="16"/>
      <c r="Q654" s="16"/>
      <c r="R654" s="16"/>
      <c r="S654" s="16"/>
      <c r="T654" s="16"/>
      <c r="U654" s="16"/>
      <c r="V654" s="16"/>
      <c r="W654" s="16"/>
      <c r="X654" s="16"/>
      <c r="Y654" s="16"/>
      <c r="Z654" s="16"/>
      <c r="AA654" s="16"/>
      <c r="AB654" s="16"/>
      <c r="AC654" s="16"/>
      <c r="AD654" s="16"/>
    </row>
    <row r="655" spans="2:30" ht="15.75" customHeight="1">
      <c r="B655" s="14"/>
      <c r="C655" s="14"/>
      <c r="D655" s="14"/>
      <c r="E655" s="14"/>
      <c r="F655" s="14"/>
      <c r="G655" s="14"/>
      <c r="H655" s="14"/>
      <c r="I655" s="14"/>
      <c r="J655" s="14"/>
      <c r="K655" s="14"/>
      <c r="L655" s="14"/>
      <c r="M655" s="14"/>
      <c r="N655" s="14"/>
      <c r="O655" s="16"/>
      <c r="P655" s="16"/>
      <c r="Q655" s="16"/>
      <c r="R655" s="16"/>
      <c r="S655" s="16"/>
      <c r="T655" s="16"/>
      <c r="U655" s="16"/>
      <c r="V655" s="16"/>
      <c r="W655" s="16"/>
      <c r="X655" s="16"/>
      <c r="Y655" s="16"/>
      <c r="Z655" s="16"/>
      <c r="AA655" s="16"/>
      <c r="AB655" s="16"/>
      <c r="AC655" s="16"/>
      <c r="AD655" s="16"/>
    </row>
    <row r="656" spans="2:30" ht="15.75" customHeight="1">
      <c r="B656" s="14"/>
      <c r="C656" s="14"/>
      <c r="D656" s="14"/>
      <c r="E656" s="14"/>
      <c r="F656" s="14"/>
      <c r="G656" s="14"/>
      <c r="H656" s="14"/>
      <c r="I656" s="14"/>
      <c r="J656" s="14"/>
      <c r="K656" s="14"/>
      <c r="L656" s="14"/>
      <c r="M656" s="14"/>
      <c r="N656" s="14"/>
      <c r="O656" s="16"/>
      <c r="P656" s="16"/>
      <c r="Q656" s="16"/>
      <c r="R656" s="16"/>
      <c r="S656" s="16"/>
      <c r="T656" s="16"/>
      <c r="U656" s="16"/>
      <c r="V656" s="16"/>
      <c r="W656" s="16"/>
      <c r="X656" s="16"/>
      <c r="Y656" s="16"/>
      <c r="Z656" s="16"/>
      <c r="AA656" s="16"/>
      <c r="AB656" s="16"/>
      <c r="AC656" s="16"/>
      <c r="AD656" s="16"/>
    </row>
    <row r="657" spans="2:30" ht="15.75" customHeight="1">
      <c r="B657" s="14"/>
      <c r="C657" s="14"/>
      <c r="D657" s="14"/>
      <c r="E657" s="14"/>
      <c r="F657" s="14"/>
      <c r="G657" s="14"/>
      <c r="H657" s="14"/>
      <c r="I657" s="14"/>
      <c r="J657" s="14"/>
      <c r="K657" s="14"/>
      <c r="L657" s="14"/>
      <c r="M657" s="14"/>
      <c r="N657" s="14"/>
      <c r="O657" s="16"/>
      <c r="P657" s="16"/>
      <c r="Q657" s="16"/>
      <c r="R657" s="16"/>
      <c r="S657" s="16"/>
      <c r="T657" s="16"/>
      <c r="U657" s="16"/>
      <c r="V657" s="16"/>
      <c r="W657" s="16"/>
      <c r="X657" s="16"/>
      <c r="Y657" s="16"/>
      <c r="Z657" s="16"/>
      <c r="AA657" s="16"/>
      <c r="AB657" s="16"/>
      <c r="AC657" s="16"/>
      <c r="AD657" s="16"/>
    </row>
    <row r="658" spans="2:30" ht="15.75" customHeight="1">
      <c r="B658" s="14"/>
      <c r="C658" s="14"/>
      <c r="D658" s="14"/>
      <c r="E658" s="14"/>
      <c r="F658" s="14"/>
      <c r="G658" s="14"/>
      <c r="H658" s="14"/>
      <c r="I658" s="14"/>
      <c r="J658" s="14"/>
      <c r="K658" s="14"/>
      <c r="L658" s="14"/>
      <c r="M658" s="14"/>
      <c r="N658" s="14"/>
      <c r="O658" s="16"/>
      <c r="P658" s="16"/>
      <c r="Q658" s="16"/>
      <c r="R658" s="16"/>
      <c r="S658" s="16"/>
      <c r="T658" s="16"/>
      <c r="U658" s="16"/>
      <c r="V658" s="16"/>
      <c r="W658" s="16"/>
      <c r="X658" s="16"/>
      <c r="Y658" s="16"/>
      <c r="Z658" s="16"/>
      <c r="AA658" s="16"/>
      <c r="AB658" s="16"/>
      <c r="AC658" s="16"/>
      <c r="AD658" s="16"/>
    </row>
    <row r="659" spans="2:30" ht="15.75" customHeight="1">
      <c r="B659" s="14"/>
      <c r="C659" s="14"/>
      <c r="D659" s="14"/>
      <c r="E659" s="14"/>
      <c r="F659" s="14"/>
      <c r="G659" s="14"/>
      <c r="H659" s="14"/>
      <c r="I659" s="14"/>
      <c r="J659" s="14"/>
      <c r="K659" s="14"/>
      <c r="L659" s="14"/>
      <c r="M659" s="14"/>
      <c r="N659" s="14"/>
      <c r="O659" s="16"/>
      <c r="P659" s="16"/>
      <c r="Q659" s="16"/>
      <c r="R659" s="16"/>
      <c r="S659" s="16"/>
      <c r="T659" s="16"/>
      <c r="U659" s="16"/>
      <c r="V659" s="16"/>
      <c r="W659" s="16"/>
      <c r="X659" s="16"/>
      <c r="Y659" s="16"/>
      <c r="Z659" s="16"/>
      <c r="AA659" s="16"/>
      <c r="AB659" s="16"/>
      <c r="AC659" s="16"/>
      <c r="AD659" s="16"/>
    </row>
    <row r="660" spans="2:30" ht="15.75" customHeight="1">
      <c r="B660" s="14"/>
      <c r="C660" s="14"/>
      <c r="D660" s="14"/>
      <c r="E660" s="14"/>
      <c r="F660" s="14"/>
      <c r="G660" s="14"/>
      <c r="H660" s="14"/>
      <c r="I660" s="14"/>
      <c r="J660" s="14"/>
      <c r="K660" s="14"/>
      <c r="L660" s="14"/>
      <c r="M660" s="14"/>
      <c r="N660" s="14"/>
      <c r="O660" s="16"/>
      <c r="P660" s="16"/>
      <c r="Q660" s="16"/>
      <c r="R660" s="16"/>
      <c r="S660" s="16"/>
      <c r="T660" s="16"/>
      <c r="U660" s="16"/>
      <c r="V660" s="16"/>
      <c r="W660" s="16"/>
      <c r="X660" s="16"/>
      <c r="Y660" s="16"/>
      <c r="Z660" s="16"/>
      <c r="AA660" s="16"/>
      <c r="AB660" s="16"/>
      <c r="AC660" s="16"/>
      <c r="AD660" s="16"/>
    </row>
    <row r="661" spans="2:30" ht="15.75" customHeight="1">
      <c r="B661" s="14"/>
      <c r="C661" s="14"/>
      <c r="D661" s="14"/>
      <c r="E661" s="14"/>
      <c r="F661" s="14"/>
      <c r="G661" s="14"/>
      <c r="H661" s="14"/>
      <c r="I661" s="14"/>
      <c r="J661" s="14"/>
      <c r="K661" s="14"/>
      <c r="L661" s="14"/>
      <c r="M661" s="14"/>
      <c r="N661" s="14"/>
      <c r="O661" s="16"/>
      <c r="P661" s="16"/>
      <c r="Q661" s="16"/>
      <c r="R661" s="16"/>
      <c r="S661" s="16"/>
      <c r="T661" s="16"/>
      <c r="U661" s="16"/>
      <c r="V661" s="16"/>
      <c r="W661" s="16"/>
      <c r="X661" s="16"/>
      <c r="Y661" s="16"/>
      <c r="Z661" s="16"/>
      <c r="AA661" s="16"/>
      <c r="AB661" s="16"/>
      <c r="AC661" s="16"/>
      <c r="AD661" s="16"/>
    </row>
    <row r="662" spans="2:30" ht="15.75" customHeight="1">
      <c r="B662" s="14"/>
      <c r="C662" s="14"/>
      <c r="D662" s="14"/>
      <c r="E662" s="14"/>
      <c r="F662" s="14"/>
      <c r="G662" s="14"/>
      <c r="H662" s="14"/>
      <c r="I662" s="14"/>
      <c r="J662" s="14"/>
      <c r="K662" s="14"/>
      <c r="L662" s="14"/>
      <c r="M662" s="14"/>
      <c r="N662" s="14"/>
      <c r="O662" s="16"/>
      <c r="P662" s="16"/>
      <c r="Q662" s="16"/>
      <c r="R662" s="16"/>
      <c r="S662" s="16"/>
      <c r="T662" s="16"/>
      <c r="U662" s="16"/>
      <c r="V662" s="16"/>
      <c r="W662" s="16"/>
      <c r="X662" s="16"/>
      <c r="Y662" s="16"/>
      <c r="Z662" s="16"/>
      <c r="AA662" s="16"/>
      <c r="AB662" s="16"/>
      <c r="AC662" s="16"/>
      <c r="AD662" s="16"/>
    </row>
    <row r="663" spans="2:30" ht="15.75" customHeight="1">
      <c r="B663" s="14"/>
      <c r="C663" s="14"/>
      <c r="D663" s="14"/>
      <c r="E663" s="14"/>
      <c r="F663" s="14"/>
      <c r="G663" s="14"/>
      <c r="H663" s="14"/>
      <c r="I663" s="14"/>
      <c r="J663" s="14"/>
      <c r="K663" s="14"/>
      <c r="L663" s="14"/>
      <c r="M663" s="14"/>
      <c r="N663" s="14"/>
      <c r="O663" s="16"/>
      <c r="P663" s="16"/>
      <c r="Q663" s="16"/>
      <c r="R663" s="16"/>
      <c r="S663" s="16"/>
      <c r="T663" s="16"/>
      <c r="U663" s="16"/>
      <c r="V663" s="16"/>
      <c r="W663" s="16"/>
      <c r="X663" s="16"/>
      <c r="Y663" s="16"/>
      <c r="Z663" s="16"/>
      <c r="AA663" s="16"/>
      <c r="AB663" s="16"/>
      <c r="AC663" s="16"/>
      <c r="AD663" s="16"/>
    </row>
    <row r="664" spans="2:30" ht="15.75" customHeight="1">
      <c r="B664" s="14"/>
      <c r="C664" s="14"/>
      <c r="D664" s="14"/>
      <c r="E664" s="14"/>
      <c r="F664" s="14"/>
      <c r="G664" s="14"/>
      <c r="H664" s="14"/>
      <c r="I664" s="14"/>
      <c r="J664" s="14"/>
      <c r="K664" s="14"/>
      <c r="L664" s="14"/>
      <c r="M664" s="14"/>
      <c r="N664" s="14"/>
      <c r="O664" s="16"/>
      <c r="P664" s="16"/>
      <c r="Q664" s="16"/>
      <c r="R664" s="16"/>
      <c r="S664" s="16"/>
      <c r="T664" s="16"/>
      <c r="U664" s="16"/>
      <c r="V664" s="16"/>
      <c r="W664" s="16"/>
      <c r="X664" s="16"/>
      <c r="Y664" s="16"/>
      <c r="Z664" s="16"/>
      <c r="AA664" s="16"/>
      <c r="AB664" s="16"/>
      <c r="AC664" s="16"/>
      <c r="AD664" s="16"/>
    </row>
    <row r="665" spans="2:30" ht="15.75" customHeight="1">
      <c r="B665" s="14"/>
      <c r="C665" s="14"/>
      <c r="D665" s="14"/>
      <c r="E665" s="14"/>
      <c r="F665" s="14"/>
      <c r="G665" s="14"/>
      <c r="H665" s="14"/>
      <c r="I665" s="14"/>
      <c r="J665" s="14"/>
      <c r="K665" s="14"/>
      <c r="L665" s="14"/>
      <c r="M665" s="14"/>
      <c r="N665" s="14"/>
      <c r="O665" s="16"/>
      <c r="P665" s="16"/>
      <c r="Q665" s="16"/>
      <c r="R665" s="16"/>
      <c r="S665" s="16"/>
      <c r="T665" s="16"/>
      <c r="U665" s="16"/>
      <c r="V665" s="16"/>
      <c r="W665" s="16"/>
      <c r="X665" s="16"/>
      <c r="Y665" s="16"/>
      <c r="Z665" s="16"/>
      <c r="AA665" s="16"/>
      <c r="AB665" s="16"/>
      <c r="AC665" s="16"/>
      <c r="AD665" s="16"/>
    </row>
    <row r="666" spans="2:30" ht="15.75" customHeight="1">
      <c r="B666" s="14"/>
      <c r="C666" s="14"/>
      <c r="D666" s="14"/>
      <c r="E666" s="14"/>
      <c r="F666" s="14"/>
      <c r="G666" s="14"/>
      <c r="H666" s="14"/>
      <c r="I666" s="14"/>
      <c r="J666" s="14"/>
      <c r="K666" s="14"/>
      <c r="L666" s="14"/>
      <c r="M666" s="14"/>
      <c r="N666" s="14"/>
      <c r="O666" s="16"/>
      <c r="P666" s="16"/>
      <c r="Q666" s="16"/>
      <c r="R666" s="16"/>
      <c r="S666" s="16"/>
      <c r="T666" s="16"/>
      <c r="U666" s="16"/>
      <c r="V666" s="16"/>
      <c r="W666" s="16"/>
      <c r="X666" s="16"/>
      <c r="Y666" s="16"/>
      <c r="Z666" s="16"/>
      <c r="AA666" s="16"/>
      <c r="AB666" s="16"/>
      <c r="AC666" s="16"/>
      <c r="AD666" s="16"/>
    </row>
    <row r="667" spans="2:30" ht="15.75" customHeight="1">
      <c r="B667" s="14"/>
      <c r="C667" s="14"/>
      <c r="D667" s="14"/>
      <c r="E667" s="14"/>
      <c r="F667" s="14"/>
      <c r="G667" s="14"/>
      <c r="H667" s="14"/>
      <c r="I667" s="14"/>
      <c r="J667" s="14"/>
      <c r="K667" s="14"/>
      <c r="L667" s="14"/>
      <c r="M667" s="14"/>
      <c r="N667" s="14"/>
      <c r="O667" s="16"/>
      <c r="P667" s="16"/>
      <c r="Q667" s="16"/>
      <c r="R667" s="16"/>
      <c r="S667" s="16"/>
      <c r="T667" s="16"/>
      <c r="U667" s="16"/>
      <c r="V667" s="16"/>
      <c r="W667" s="16"/>
      <c r="X667" s="16"/>
      <c r="Y667" s="16"/>
      <c r="Z667" s="16"/>
      <c r="AA667" s="16"/>
      <c r="AB667" s="16"/>
      <c r="AC667" s="16"/>
      <c r="AD667" s="16"/>
    </row>
    <row r="668" spans="2:30" ht="15.75" customHeight="1">
      <c r="B668" s="14"/>
      <c r="C668" s="14"/>
      <c r="D668" s="14"/>
      <c r="E668" s="14"/>
      <c r="F668" s="14"/>
      <c r="G668" s="14"/>
      <c r="H668" s="14"/>
      <c r="I668" s="14"/>
      <c r="J668" s="14"/>
      <c r="K668" s="14"/>
      <c r="L668" s="14"/>
      <c r="M668" s="14"/>
      <c r="N668" s="14"/>
      <c r="O668" s="16"/>
      <c r="P668" s="16"/>
      <c r="Q668" s="16"/>
      <c r="R668" s="16"/>
      <c r="S668" s="16"/>
      <c r="T668" s="16"/>
      <c r="U668" s="16"/>
      <c r="V668" s="16"/>
      <c r="W668" s="16"/>
      <c r="X668" s="16"/>
      <c r="Y668" s="16"/>
      <c r="Z668" s="16"/>
      <c r="AA668" s="16"/>
      <c r="AB668" s="16"/>
      <c r="AC668" s="16"/>
      <c r="AD668" s="16"/>
    </row>
    <row r="669" spans="2:30" ht="15.75" customHeight="1">
      <c r="B669" s="14"/>
      <c r="C669" s="14"/>
      <c r="D669" s="14"/>
      <c r="E669" s="14"/>
      <c r="F669" s="14"/>
      <c r="G669" s="14"/>
      <c r="H669" s="14"/>
      <c r="I669" s="14"/>
      <c r="J669" s="14"/>
      <c r="K669" s="14"/>
      <c r="L669" s="14"/>
      <c r="M669" s="14"/>
      <c r="N669" s="14"/>
      <c r="O669" s="16"/>
      <c r="P669" s="16"/>
      <c r="Q669" s="16"/>
      <c r="R669" s="16"/>
      <c r="S669" s="16"/>
      <c r="T669" s="16"/>
      <c r="U669" s="16"/>
      <c r="V669" s="16"/>
      <c r="W669" s="16"/>
      <c r="X669" s="16"/>
      <c r="Y669" s="16"/>
      <c r="Z669" s="16"/>
      <c r="AA669" s="16"/>
      <c r="AB669" s="16"/>
      <c r="AC669" s="16"/>
      <c r="AD669" s="16"/>
    </row>
    <row r="670" spans="2:30" ht="15.75" customHeight="1">
      <c r="B670" s="14"/>
      <c r="C670" s="14"/>
      <c r="D670" s="14"/>
      <c r="E670" s="14"/>
      <c r="F670" s="14"/>
      <c r="G670" s="14"/>
      <c r="H670" s="14"/>
      <c r="I670" s="14"/>
      <c r="J670" s="14"/>
      <c r="K670" s="14"/>
      <c r="L670" s="14"/>
      <c r="M670" s="14"/>
      <c r="N670" s="14"/>
      <c r="O670" s="16"/>
      <c r="P670" s="16"/>
      <c r="Q670" s="16"/>
      <c r="R670" s="16"/>
      <c r="S670" s="16"/>
      <c r="T670" s="16"/>
      <c r="U670" s="16"/>
      <c r="V670" s="16"/>
      <c r="W670" s="16"/>
      <c r="X670" s="16"/>
      <c r="Y670" s="16"/>
      <c r="Z670" s="16"/>
      <c r="AA670" s="16"/>
      <c r="AB670" s="16"/>
      <c r="AC670" s="16"/>
      <c r="AD670" s="16"/>
    </row>
    <row r="671" spans="2:30" ht="15.75" customHeight="1">
      <c r="B671" s="14"/>
      <c r="C671" s="14"/>
      <c r="D671" s="14"/>
      <c r="E671" s="14"/>
      <c r="F671" s="14"/>
      <c r="G671" s="14"/>
      <c r="H671" s="14"/>
      <c r="I671" s="14"/>
      <c r="J671" s="14"/>
      <c r="K671" s="14"/>
      <c r="L671" s="14"/>
      <c r="M671" s="14"/>
      <c r="N671" s="14"/>
      <c r="O671" s="16"/>
      <c r="P671" s="16"/>
      <c r="Q671" s="16"/>
      <c r="R671" s="16"/>
      <c r="S671" s="16"/>
      <c r="T671" s="16"/>
      <c r="U671" s="16"/>
      <c r="V671" s="16"/>
      <c r="W671" s="16"/>
      <c r="X671" s="16"/>
      <c r="Y671" s="16"/>
      <c r="Z671" s="16"/>
      <c r="AA671" s="16"/>
      <c r="AB671" s="16"/>
      <c r="AC671" s="16"/>
      <c r="AD671" s="16"/>
    </row>
    <row r="672" spans="2:30" ht="15.75" customHeight="1">
      <c r="B672" s="14"/>
      <c r="C672" s="14"/>
      <c r="D672" s="14"/>
      <c r="E672" s="14"/>
      <c r="F672" s="14"/>
      <c r="G672" s="14"/>
      <c r="H672" s="14"/>
      <c r="I672" s="14"/>
      <c r="J672" s="14"/>
      <c r="K672" s="14"/>
      <c r="L672" s="14"/>
      <c r="M672" s="14"/>
      <c r="N672" s="14"/>
      <c r="O672" s="16"/>
      <c r="P672" s="16"/>
      <c r="Q672" s="16"/>
      <c r="R672" s="16"/>
      <c r="S672" s="16"/>
      <c r="T672" s="16"/>
      <c r="U672" s="16"/>
      <c r="V672" s="16"/>
      <c r="W672" s="16"/>
      <c r="X672" s="16"/>
      <c r="Y672" s="16"/>
      <c r="Z672" s="16"/>
      <c r="AA672" s="16"/>
      <c r="AB672" s="16"/>
      <c r="AC672" s="16"/>
      <c r="AD672" s="16"/>
    </row>
    <row r="673" spans="2:30" ht="15.75" customHeight="1">
      <c r="B673" s="14"/>
      <c r="C673" s="14"/>
      <c r="D673" s="14"/>
      <c r="E673" s="14"/>
      <c r="F673" s="14"/>
      <c r="G673" s="14"/>
      <c r="H673" s="14"/>
      <c r="I673" s="14"/>
      <c r="J673" s="14"/>
      <c r="K673" s="14"/>
      <c r="L673" s="14"/>
      <c r="M673" s="14"/>
      <c r="N673" s="14"/>
      <c r="O673" s="16"/>
      <c r="P673" s="16"/>
      <c r="Q673" s="16"/>
      <c r="R673" s="16"/>
      <c r="S673" s="16"/>
      <c r="T673" s="16"/>
      <c r="U673" s="16"/>
      <c r="V673" s="16"/>
      <c r="W673" s="16"/>
      <c r="X673" s="16"/>
      <c r="Y673" s="16"/>
      <c r="Z673" s="16"/>
      <c r="AA673" s="16"/>
      <c r="AB673" s="16"/>
      <c r="AC673" s="16"/>
      <c r="AD673" s="16"/>
    </row>
    <row r="674" spans="2:30" ht="15.75" customHeight="1">
      <c r="B674" s="14"/>
      <c r="C674" s="14"/>
      <c r="D674" s="14"/>
      <c r="E674" s="14"/>
      <c r="F674" s="14"/>
      <c r="G674" s="14"/>
      <c r="H674" s="14"/>
      <c r="I674" s="14"/>
      <c r="J674" s="14"/>
      <c r="K674" s="14"/>
      <c r="L674" s="14"/>
      <c r="M674" s="14"/>
      <c r="N674" s="14"/>
      <c r="O674" s="16"/>
      <c r="P674" s="16"/>
      <c r="Q674" s="16"/>
      <c r="R674" s="16"/>
      <c r="S674" s="16"/>
      <c r="T674" s="16"/>
      <c r="U674" s="16"/>
      <c r="V674" s="16"/>
      <c r="W674" s="16"/>
      <c r="X674" s="16"/>
      <c r="Y674" s="16"/>
      <c r="Z674" s="16"/>
      <c r="AA674" s="16"/>
      <c r="AB674" s="16"/>
      <c r="AC674" s="16"/>
      <c r="AD674" s="16"/>
    </row>
    <row r="675" spans="2:30" ht="15.75" customHeight="1">
      <c r="B675" s="14"/>
      <c r="C675" s="14"/>
      <c r="D675" s="14"/>
      <c r="E675" s="14"/>
      <c r="F675" s="14"/>
      <c r="G675" s="14"/>
      <c r="H675" s="14"/>
      <c r="I675" s="14"/>
      <c r="J675" s="14"/>
      <c r="K675" s="14"/>
      <c r="L675" s="14"/>
      <c r="M675" s="14"/>
      <c r="N675" s="14"/>
      <c r="O675" s="16"/>
      <c r="P675" s="16"/>
      <c r="Q675" s="16"/>
      <c r="R675" s="16"/>
      <c r="S675" s="16"/>
      <c r="T675" s="16"/>
      <c r="U675" s="16"/>
      <c r="V675" s="16"/>
      <c r="W675" s="16"/>
      <c r="X675" s="16"/>
      <c r="Y675" s="16"/>
      <c r="Z675" s="16"/>
      <c r="AA675" s="16"/>
      <c r="AB675" s="16"/>
      <c r="AC675" s="16"/>
      <c r="AD675" s="16"/>
    </row>
    <row r="676" spans="2:30" ht="15.75" customHeight="1">
      <c r="B676" s="14"/>
      <c r="C676" s="14"/>
      <c r="D676" s="14"/>
      <c r="E676" s="14"/>
      <c r="F676" s="14"/>
      <c r="G676" s="14"/>
      <c r="H676" s="14"/>
      <c r="I676" s="14"/>
      <c r="J676" s="14"/>
      <c r="K676" s="14"/>
      <c r="L676" s="14"/>
      <c r="M676" s="14"/>
      <c r="N676" s="14"/>
      <c r="O676" s="16"/>
      <c r="P676" s="16"/>
      <c r="Q676" s="16"/>
      <c r="R676" s="16"/>
      <c r="S676" s="16"/>
      <c r="T676" s="16"/>
      <c r="U676" s="16"/>
      <c r="V676" s="16"/>
      <c r="W676" s="16"/>
      <c r="X676" s="16"/>
      <c r="Y676" s="16"/>
      <c r="Z676" s="16"/>
      <c r="AA676" s="16"/>
      <c r="AB676" s="16"/>
      <c r="AC676" s="16"/>
      <c r="AD676" s="16"/>
    </row>
    <row r="677" spans="2:30" ht="15.75" customHeight="1">
      <c r="B677" s="14"/>
      <c r="C677" s="14"/>
      <c r="D677" s="14"/>
      <c r="E677" s="14"/>
      <c r="F677" s="14"/>
      <c r="G677" s="14"/>
      <c r="H677" s="14"/>
      <c r="I677" s="14"/>
      <c r="J677" s="14"/>
      <c r="K677" s="14"/>
      <c r="L677" s="14"/>
      <c r="M677" s="14"/>
      <c r="N677" s="14"/>
      <c r="O677" s="16"/>
      <c r="P677" s="16"/>
      <c r="Q677" s="16"/>
      <c r="R677" s="16"/>
      <c r="S677" s="16"/>
      <c r="T677" s="16"/>
      <c r="U677" s="16"/>
      <c r="V677" s="16"/>
      <c r="W677" s="16"/>
      <c r="X677" s="16"/>
      <c r="Y677" s="16"/>
      <c r="Z677" s="16"/>
      <c r="AA677" s="16"/>
      <c r="AB677" s="16"/>
      <c r="AC677" s="16"/>
      <c r="AD677" s="16"/>
    </row>
    <row r="678" spans="2:30" ht="15.75" customHeight="1">
      <c r="B678" s="14"/>
      <c r="C678" s="14"/>
      <c r="D678" s="14"/>
      <c r="E678" s="14"/>
      <c r="F678" s="14"/>
      <c r="G678" s="14"/>
      <c r="H678" s="14"/>
      <c r="I678" s="14"/>
      <c r="J678" s="14"/>
      <c r="K678" s="14"/>
      <c r="L678" s="14"/>
      <c r="M678" s="14"/>
      <c r="N678" s="14"/>
      <c r="O678" s="16"/>
      <c r="P678" s="16"/>
      <c r="Q678" s="16"/>
      <c r="R678" s="16"/>
      <c r="S678" s="16"/>
      <c r="T678" s="16"/>
      <c r="U678" s="16"/>
      <c r="V678" s="16"/>
      <c r="W678" s="16"/>
      <c r="X678" s="16"/>
      <c r="Y678" s="16"/>
      <c r="Z678" s="16"/>
      <c r="AA678" s="16"/>
      <c r="AB678" s="16"/>
      <c r="AC678" s="16"/>
      <c r="AD678" s="16"/>
    </row>
    <row r="679" spans="2:30" ht="15.75" customHeight="1">
      <c r="B679" s="14"/>
      <c r="C679" s="14"/>
      <c r="D679" s="14"/>
      <c r="E679" s="14"/>
      <c r="F679" s="14"/>
      <c r="G679" s="14"/>
      <c r="H679" s="14"/>
      <c r="I679" s="14"/>
      <c r="J679" s="14"/>
      <c r="K679" s="14"/>
      <c r="L679" s="14"/>
      <c r="M679" s="14"/>
      <c r="N679" s="14"/>
      <c r="O679" s="16"/>
      <c r="P679" s="16"/>
      <c r="Q679" s="16"/>
      <c r="R679" s="16"/>
      <c r="S679" s="16"/>
      <c r="T679" s="16"/>
      <c r="U679" s="16"/>
      <c r="V679" s="16"/>
      <c r="W679" s="16"/>
      <c r="X679" s="16"/>
      <c r="Y679" s="16"/>
      <c r="Z679" s="16"/>
      <c r="AA679" s="16"/>
      <c r="AB679" s="16"/>
      <c r="AC679" s="16"/>
      <c r="AD679" s="16"/>
    </row>
    <row r="680" spans="2:30" ht="15.75" customHeight="1">
      <c r="B680" s="14"/>
      <c r="C680" s="14"/>
      <c r="D680" s="14"/>
      <c r="E680" s="14"/>
      <c r="F680" s="14"/>
      <c r="G680" s="14"/>
      <c r="H680" s="14"/>
      <c r="I680" s="14"/>
      <c r="J680" s="14"/>
      <c r="K680" s="14"/>
      <c r="L680" s="14"/>
      <c r="M680" s="14"/>
      <c r="N680" s="14"/>
      <c r="O680" s="16"/>
      <c r="P680" s="16"/>
      <c r="Q680" s="16"/>
      <c r="R680" s="16"/>
      <c r="S680" s="16"/>
      <c r="T680" s="16"/>
      <c r="U680" s="16"/>
      <c r="V680" s="16"/>
      <c r="W680" s="16"/>
      <c r="X680" s="16"/>
      <c r="Y680" s="16"/>
      <c r="Z680" s="16"/>
      <c r="AA680" s="16"/>
      <c r="AB680" s="16"/>
      <c r="AC680" s="16"/>
      <c r="AD680" s="16"/>
    </row>
    <row r="681" spans="2:30" ht="15.75" customHeight="1">
      <c r="B681" s="14"/>
      <c r="C681" s="14"/>
      <c r="D681" s="14"/>
      <c r="E681" s="14"/>
      <c r="F681" s="14"/>
      <c r="G681" s="14"/>
      <c r="H681" s="14"/>
      <c r="I681" s="14"/>
      <c r="J681" s="14"/>
      <c r="K681" s="14"/>
      <c r="L681" s="14"/>
      <c r="M681" s="14"/>
      <c r="N681" s="14"/>
      <c r="O681" s="16"/>
      <c r="P681" s="16"/>
      <c r="Q681" s="16"/>
      <c r="R681" s="16"/>
      <c r="S681" s="16"/>
      <c r="T681" s="16"/>
      <c r="U681" s="16"/>
      <c r="V681" s="16"/>
      <c r="W681" s="16"/>
      <c r="X681" s="16"/>
      <c r="Y681" s="16"/>
      <c r="Z681" s="16"/>
      <c r="AA681" s="16"/>
      <c r="AB681" s="16"/>
      <c r="AC681" s="16"/>
      <c r="AD681" s="16"/>
    </row>
    <row r="682" spans="2:30" ht="15.75" customHeight="1">
      <c r="B682" s="14"/>
      <c r="C682" s="14"/>
      <c r="D682" s="14"/>
      <c r="E682" s="14"/>
      <c r="F682" s="14"/>
      <c r="G682" s="14"/>
      <c r="H682" s="14"/>
      <c r="I682" s="14"/>
      <c r="J682" s="14"/>
      <c r="K682" s="14"/>
      <c r="L682" s="14"/>
      <c r="M682" s="14"/>
      <c r="N682" s="14"/>
      <c r="O682" s="16"/>
      <c r="P682" s="16"/>
      <c r="Q682" s="16"/>
      <c r="R682" s="16"/>
      <c r="S682" s="16"/>
      <c r="T682" s="16"/>
      <c r="U682" s="16"/>
      <c r="V682" s="16"/>
      <c r="W682" s="16"/>
      <c r="X682" s="16"/>
      <c r="Y682" s="16"/>
      <c r="Z682" s="16"/>
      <c r="AA682" s="16"/>
      <c r="AB682" s="16"/>
      <c r="AC682" s="16"/>
      <c r="AD682" s="16"/>
    </row>
    <row r="683" spans="2:30" ht="15.75" customHeight="1">
      <c r="B683" s="14"/>
      <c r="C683" s="14"/>
      <c r="D683" s="14"/>
      <c r="E683" s="14"/>
      <c r="F683" s="14"/>
      <c r="G683" s="14"/>
      <c r="H683" s="14"/>
      <c r="I683" s="14"/>
      <c r="J683" s="14"/>
      <c r="K683" s="14"/>
      <c r="L683" s="14"/>
      <c r="M683" s="14"/>
      <c r="N683" s="14"/>
      <c r="O683" s="16"/>
      <c r="P683" s="16"/>
      <c r="Q683" s="16"/>
      <c r="R683" s="16"/>
      <c r="S683" s="16"/>
      <c r="T683" s="16"/>
      <c r="U683" s="16"/>
      <c r="V683" s="16"/>
      <c r="W683" s="16"/>
      <c r="X683" s="16"/>
      <c r="Y683" s="16"/>
      <c r="Z683" s="16"/>
      <c r="AA683" s="16"/>
      <c r="AB683" s="16"/>
      <c r="AC683" s="16"/>
      <c r="AD683" s="16"/>
    </row>
    <row r="684" spans="2:30" ht="15.75" customHeight="1">
      <c r="B684" s="14"/>
      <c r="C684" s="14"/>
      <c r="D684" s="14"/>
      <c r="E684" s="14"/>
      <c r="F684" s="14"/>
      <c r="G684" s="14"/>
      <c r="H684" s="14"/>
      <c r="I684" s="14"/>
      <c r="J684" s="14"/>
      <c r="K684" s="14"/>
      <c r="L684" s="14"/>
      <c r="M684" s="14"/>
      <c r="N684" s="14"/>
      <c r="O684" s="16"/>
      <c r="P684" s="16"/>
      <c r="Q684" s="16"/>
      <c r="R684" s="16"/>
      <c r="S684" s="16"/>
      <c r="T684" s="16"/>
      <c r="U684" s="16"/>
      <c r="V684" s="16"/>
      <c r="W684" s="16"/>
      <c r="X684" s="16"/>
      <c r="Y684" s="16"/>
      <c r="Z684" s="16"/>
      <c r="AA684" s="16"/>
      <c r="AB684" s="16"/>
      <c r="AC684" s="16"/>
      <c r="AD684" s="16"/>
    </row>
    <row r="685" spans="2:30" ht="15.75" customHeight="1">
      <c r="B685" s="14"/>
      <c r="C685" s="14"/>
      <c r="D685" s="14"/>
      <c r="E685" s="14"/>
      <c r="F685" s="14"/>
      <c r="G685" s="14"/>
      <c r="H685" s="14"/>
      <c r="I685" s="14"/>
      <c r="J685" s="14"/>
      <c r="K685" s="14"/>
      <c r="L685" s="14"/>
      <c r="M685" s="14"/>
      <c r="N685" s="14"/>
      <c r="O685" s="16"/>
      <c r="P685" s="16"/>
      <c r="Q685" s="16"/>
      <c r="R685" s="16"/>
      <c r="S685" s="16"/>
      <c r="T685" s="16"/>
      <c r="U685" s="16"/>
      <c r="V685" s="16"/>
      <c r="W685" s="16"/>
      <c r="X685" s="16"/>
      <c r="Y685" s="16"/>
      <c r="Z685" s="16"/>
      <c r="AA685" s="16"/>
      <c r="AB685" s="16"/>
      <c r="AC685" s="16"/>
      <c r="AD685" s="16"/>
    </row>
    <row r="686" spans="2:30" ht="15.75" customHeight="1">
      <c r="B686" s="14"/>
      <c r="C686" s="14"/>
      <c r="D686" s="14"/>
      <c r="E686" s="14"/>
      <c r="F686" s="14"/>
      <c r="G686" s="14"/>
      <c r="H686" s="14"/>
      <c r="I686" s="14"/>
      <c r="J686" s="14"/>
      <c r="K686" s="14"/>
      <c r="L686" s="14"/>
      <c r="M686" s="14"/>
      <c r="N686" s="14"/>
      <c r="O686" s="16"/>
      <c r="P686" s="16"/>
      <c r="Q686" s="16"/>
      <c r="R686" s="16"/>
      <c r="S686" s="16"/>
      <c r="T686" s="16"/>
      <c r="U686" s="16"/>
      <c r="V686" s="16"/>
      <c r="W686" s="16"/>
      <c r="X686" s="16"/>
      <c r="Y686" s="16"/>
      <c r="Z686" s="16"/>
      <c r="AA686" s="16"/>
      <c r="AB686" s="16"/>
      <c r="AC686" s="16"/>
      <c r="AD686" s="16"/>
    </row>
    <row r="687" spans="2:30" ht="15.75" customHeight="1">
      <c r="B687" s="14"/>
      <c r="C687" s="14"/>
      <c r="D687" s="14"/>
      <c r="E687" s="14"/>
      <c r="F687" s="14"/>
      <c r="G687" s="14"/>
      <c r="H687" s="14"/>
      <c r="I687" s="14"/>
      <c r="J687" s="14"/>
      <c r="K687" s="14"/>
      <c r="L687" s="14"/>
      <c r="M687" s="14"/>
      <c r="N687" s="14"/>
      <c r="O687" s="16"/>
      <c r="P687" s="16"/>
      <c r="Q687" s="16"/>
      <c r="R687" s="16"/>
      <c r="S687" s="16"/>
      <c r="T687" s="16"/>
      <c r="U687" s="16"/>
      <c r="V687" s="16"/>
      <c r="W687" s="16"/>
      <c r="X687" s="16"/>
      <c r="Y687" s="16"/>
      <c r="Z687" s="16"/>
      <c r="AA687" s="16"/>
      <c r="AB687" s="16"/>
      <c r="AC687" s="16"/>
      <c r="AD687" s="16"/>
    </row>
    <row r="688" spans="2:30" ht="15.75" customHeight="1">
      <c r="B688" s="14"/>
      <c r="C688" s="14"/>
      <c r="D688" s="14"/>
      <c r="E688" s="14"/>
      <c r="F688" s="14"/>
      <c r="G688" s="14"/>
      <c r="H688" s="14"/>
      <c r="I688" s="14"/>
      <c r="J688" s="14"/>
      <c r="K688" s="14"/>
      <c r="L688" s="14"/>
      <c r="M688" s="14"/>
      <c r="N688" s="14"/>
      <c r="O688" s="16"/>
      <c r="P688" s="16"/>
      <c r="Q688" s="16"/>
      <c r="R688" s="16"/>
      <c r="S688" s="16"/>
      <c r="T688" s="16"/>
      <c r="U688" s="16"/>
      <c r="V688" s="16"/>
      <c r="W688" s="16"/>
      <c r="X688" s="16"/>
      <c r="Y688" s="16"/>
      <c r="Z688" s="16"/>
      <c r="AA688" s="16"/>
      <c r="AB688" s="16"/>
      <c r="AC688" s="16"/>
      <c r="AD688" s="16"/>
    </row>
    <row r="689" spans="2:30" ht="15.75" customHeight="1">
      <c r="B689" s="14"/>
      <c r="C689" s="14"/>
      <c r="D689" s="14"/>
      <c r="E689" s="14"/>
      <c r="F689" s="14"/>
      <c r="G689" s="14"/>
      <c r="H689" s="14"/>
      <c r="I689" s="14"/>
      <c r="J689" s="14"/>
      <c r="K689" s="14"/>
      <c r="L689" s="14"/>
      <c r="M689" s="14"/>
      <c r="N689" s="14"/>
      <c r="O689" s="16"/>
      <c r="P689" s="16"/>
      <c r="Q689" s="16"/>
      <c r="R689" s="16"/>
      <c r="S689" s="16"/>
      <c r="T689" s="16"/>
      <c r="U689" s="16"/>
      <c r="V689" s="16"/>
      <c r="W689" s="16"/>
      <c r="X689" s="16"/>
      <c r="Y689" s="16"/>
      <c r="Z689" s="16"/>
      <c r="AA689" s="16"/>
      <c r="AB689" s="16"/>
      <c r="AC689" s="16"/>
      <c r="AD689" s="16"/>
    </row>
    <row r="690" spans="2:30" ht="15.75" customHeight="1">
      <c r="B690" s="14"/>
      <c r="C690" s="14"/>
      <c r="D690" s="14"/>
      <c r="E690" s="14"/>
      <c r="F690" s="14"/>
      <c r="G690" s="14"/>
      <c r="H690" s="14"/>
      <c r="I690" s="14"/>
      <c r="J690" s="14"/>
      <c r="K690" s="14"/>
      <c r="L690" s="14"/>
      <c r="M690" s="14"/>
      <c r="N690" s="14"/>
      <c r="O690" s="16"/>
      <c r="P690" s="16"/>
      <c r="Q690" s="16"/>
      <c r="R690" s="16"/>
      <c r="S690" s="16"/>
      <c r="T690" s="16"/>
      <c r="U690" s="16"/>
      <c r="V690" s="16"/>
      <c r="W690" s="16"/>
      <c r="X690" s="16"/>
      <c r="Y690" s="16"/>
      <c r="Z690" s="16"/>
      <c r="AA690" s="16"/>
      <c r="AB690" s="16"/>
      <c r="AC690" s="16"/>
      <c r="AD690" s="16"/>
    </row>
    <row r="691" spans="2:30" ht="15.75" customHeight="1">
      <c r="B691" s="14"/>
      <c r="C691" s="14"/>
      <c r="D691" s="14"/>
      <c r="E691" s="14"/>
      <c r="F691" s="14"/>
      <c r="G691" s="14"/>
      <c r="H691" s="14"/>
      <c r="I691" s="14"/>
      <c r="J691" s="14"/>
      <c r="K691" s="14"/>
      <c r="L691" s="14"/>
      <c r="M691" s="14"/>
      <c r="N691" s="14"/>
      <c r="O691" s="16"/>
      <c r="P691" s="16"/>
      <c r="Q691" s="16"/>
      <c r="R691" s="16"/>
      <c r="S691" s="16"/>
      <c r="T691" s="16"/>
      <c r="U691" s="16"/>
      <c r="V691" s="16"/>
      <c r="W691" s="16"/>
      <c r="X691" s="16"/>
      <c r="Y691" s="16"/>
      <c r="Z691" s="16"/>
      <c r="AA691" s="16"/>
      <c r="AB691" s="16"/>
      <c r="AC691" s="16"/>
      <c r="AD691" s="16"/>
    </row>
    <row r="692" spans="2:30" ht="15.75" customHeight="1">
      <c r="B692" s="14"/>
      <c r="C692" s="14"/>
      <c r="D692" s="14"/>
      <c r="E692" s="14"/>
      <c r="F692" s="14"/>
      <c r="G692" s="14"/>
      <c r="H692" s="14"/>
      <c r="I692" s="14"/>
      <c r="J692" s="14"/>
      <c r="K692" s="14"/>
      <c r="L692" s="14"/>
      <c r="M692" s="14"/>
      <c r="N692" s="14"/>
      <c r="O692" s="16"/>
      <c r="P692" s="16"/>
      <c r="Q692" s="16"/>
      <c r="R692" s="16"/>
      <c r="S692" s="16"/>
      <c r="T692" s="16"/>
      <c r="U692" s="16"/>
      <c r="V692" s="16"/>
      <c r="W692" s="16"/>
      <c r="X692" s="16"/>
      <c r="Y692" s="16"/>
      <c r="Z692" s="16"/>
      <c r="AA692" s="16"/>
      <c r="AB692" s="16"/>
      <c r="AC692" s="16"/>
      <c r="AD692" s="16"/>
    </row>
    <row r="693" spans="2:30" ht="15.75" customHeight="1">
      <c r="B693" s="14"/>
      <c r="C693" s="14"/>
      <c r="D693" s="14"/>
      <c r="E693" s="14"/>
      <c r="F693" s="14"/>
      <c r="G693" s="14"/>
      <c r="H693" s="14"/>
      <c r="I693" s="14"/>
      <c r="J693" s="14"/>
      <c r="K693" s="14"/>
      <c r="L693" s="14"/>
      <c r="M693" s="14"/>
      <c r="N693" s="14"/>
      <c r="O693" s="16"/>
      <c r="P693" s="16"/>
      <c r="Q693" s="16"/>
      <c r="R693" s="16"/>
      <c r="S693" s="16"/>
      <c r="T693" s="16"/>
      <c r="U693" s="16"/>
      <c r="V693" s="16"/>
      <c r="W693" s="16"/>
      <c r="X693" s="16"/>
      <c r="Y693" s="16"/>
      <c r="Z693" s="16"/>
      <c r="AA693" s="16"/>
      <c r="AB693" s="16"/>
      <c r="AC693" s="16"/>
      <c r="AD693" s="16"/>
    </row>
    <row r="694" spans="2:30" ht="15.75" customHeight="1">
      <c r="B694" s="14"/>
      <c r="C694" s="14"/>
      <c r="D694" s="14"/>
      <c r="E694" s="14"/>
      <c r="F694" s="14"/>
      <c r="G694" s="14"/>
      <c r="H694" s="14"/>
      <c r="I694" s="14"/>
      <c r="J694" s="14"/>
      <c r="K694" s="14"/>
      <c r="L694" s="14"/>
      <c r="M694" s="14"/>
      <c r="N694" s="14"/>
      <c r="O694" s="16"/>
      <c r="P694" s="16"/>
      <c r="Q694" s="16"/>
      <c r="R694" s="16"/>
      <c r="S694" s="16"/>
      <c r="T694" s="16"/>
      <c r="U694" s="16"/>
      <c r="V694" s="16"/>
      <c r="W694" s="16"/>
      <c r="X694" s="16"/>
      <c r="Y694" s="16"/>
      <c r="Z694" s="16"/>
      <c r="AA694" s="16"/>
      <c r="AB694" s="16"/>
      <c r="AC694" s="16"/>
      <c r="AD694" s="16"/>
    </row>
    <row r="695" spans="2:30" ht="15.75" customHeight="1">
      <c r="B695" s="14"/>
      <c r="C695" s="14"/>
      <c r="D695" s="14"/>
      <c r="E695" s="14"/>
      <c r="F695" s="14"/>
      <c r="G695" s="14"/>
      <c r="H695" s="14"/>
      <c r="I695" s="14"/>
      <c r="J695" s="14"/>
      <c r="K695" s="14"/>
      <c r="L695" s="14"/>
      <c r="M695" s="14"/>
      <c r="N695" s="14"/>
      <c r="O695" s="16"/>
      <c r="P695" s="16"/>
      <c r="Q695" s="16"/>
      <c r="R695" s="16"/>
      <c r="S695" s="16"/>
      <c r="T695" s="16"/>
      <c r="U695" s="16"/>
      <c r="V695" s="16"/>
      <c r="W695" s="16"/>
      <c r="X695" s="16"/>
      <c r="Y695" s="16"/>
      <c r="Z695" s="16"/>
      <c r="AA695" s="16"/>
      <c r="AB695" s="16"/>
      <c r="AC695" s="16"/>
      <c r="AD695" s="16"/>
    </row>
    <row r="696" spans="2:30" ht="15.75" customHeight="1">
      <c r="B696" s="14"/>
      <c r="C696" s="14"/>
      <c r="D696" s="14"/>
      <c r="E696" s="14"/>
      <c r="F696" s="14"/>
      <c r="G696" s="14"/>
      <c r="H696" s="14"/>
      <c r="I696" s="14"/>
      <c r="J696" s="14"/>
      <c r="K696" s="14"/>
      <c r="L696" s="14"/>
      <c r="M696" s="14"/>
      <c r="N696" s="14"/>
      <c r="O696" s="16"/>
      <c r="P696" s="16"/>
      <c r="Q696" s="16"/>
      <c r="R696" s="16"/>
      <c r="S696" s="16"/>
      <c r="T696" s="16"/>
      <c r="U696" s="16"/>
      <c r="V696" s="16"/>
      <c r="W696" s="16"/>
      <c r="X696" s="16"/>
      <c r="Y696" s="16"/>
      <c r="Z696" s="16"/>
      <c r="AA696" s="16"/>
      <c r="AB696" s="16"/>
      <c r="AC696" s="16"/>
      <c r="AD696" s="16"/>
    </row>
    <row r="697" spans="2:30" ht="15.75" customHeight="1">
      <c r="B697" s="14"/>
      <c r="C697" s="14"/>
      <c r="D697" s="14"/>
      <c r="E697" s="14"/>
      <c r="F697" s="14"/>
      <c r="G697" s="14"/>
      <c r="H697" s="14"/>
      <c r="I697" s="14"/>
      <c r="J697" s="14"/>
      <c r="K697" s="14"/>
      <c r="L697" s="14"/>
      <c r="M697" s="14"/>
      <c r="N697" s="14"/>
      <c r="O697" s="16"/>
      <c r="P697" s="16"/>
      <c r="Q697" s="16"/>
      <c r="R697" s="16"/>
      <c r="S697" s="16"/>
      <c r="T697" s="16"/>
      <c r="U697" s="16"/>
      <c r="V697" s="16"/>
      <c r="W697" s="16"/>
      <c r="X697" s="16"/>
      <c r="Y697" s="16"/>
      <c r="Z697" s="16"/>
      <c r="AA697" s="16"/>
      <c r="AB697" s="16"/>
      <c r="AC697" s="16"/>
      <c r="AD697" s="16"/>
    </row>
    <row r="698" spans="2:30" ht="15.75" customHeight="1">
      <c r="B698" s="14"/>
      <c r="C698" s="14"/>
      <c r="D698" s="14"/>
      <c r="E698" s="14"/>
      <c r="F698" s="14"/>
      <c r="G698" s="14"/>
      <c r="H698" s="14"/>
      <c r="I698" s="14"/>
      <c r="J698" s="14"/>
      <c r="K698" s="14"/>
      <c r="L698" s="14"/>
      <c r="M698" s="14"/>
      <c r="N698" s="14"/>
      <c r="O698" s="16"/>
      <c r="P698" s="16"/>
      <c r="Q698" s="16"/>
      <c r="R698" s="16"/>
      <c r="S698" s="16"/>
      <c r="T698" s="16"/>
      <c r="U698" s="16"/>
      <c r="V698" s="16"/>
      <c r="W698" s="16"/>
      <c r="X698" s="16"/>
      <c r="Y698" s="16"/>
      <c r="Z698" s="16"/>
      <c r="AA698" s="16"/>
      <c r="AB698" s="16"/>
      <c r="AC698" s="16"/>
      <c r="AD698" s="16"/>
    </row>
    <row r="699" spans="2:30" ht="15.75" customHeight="1">
      <c r="B699" s="14"/>
      <c r="C699" s="14"/>
      <c r="D699" s="14"/>
      <c r="E699" s="14"/>
      <c r="F699" s="14"/>
      <c r="G699" s="14"/>
      <c r="H699" s="14"/>
      <c r="I699" s="14"/>
      <c r="J699" s="14"/>
      <c r="K699" s="14"/>
      <c r="L699" s="14"/>
      <c r="M699" s="14"/>
      <c r="N699" s="14"/>
      <c r="O699" s="16"/>
      <c r="P699" s="16"/>
      <c r="Q699" s="16"/>
      <c r="R699" s="16"/>
      <c r="S699" s="16"/>
      <c r="T699" s="16"/>
      <c r="U699" s="16"/>
      <c r="V699" s="16"/>
      <c r="W699" s="16"/>
      <c r="X699" s="16"/>
      <c r="Y699" s="16"/>
      <c r="Z699" s="16"/>
      <c r="AA699" s="16"/>
      <c r="AB699" s="16"/>
      <c r="AC699" s="16"/>
      <c r="AD699" s="16"/>
    </row>
    <row r="700" spans="2:30" ht="15.75" customHeight="1">
      <c r="B700" s="14"/>
      <c r="C700" s="14"/>
      <c r="D700" s="14"/>
      <c r="E700" s="14"/>
      <c r="F700" s="14"/>
      <c r="G700" s="14"/>
      <c r="H700" s="14"/>
      <c r="I700" s="14"/>
      <c r="J700" s="14"/>
      <c r="K700" s="14"/>
      <c r="L700" s="14"/>
      <c r="M700" s="14"/>
      <c r="N700" s="14"/>
      <c r="O700" s="16"/>
      <c r="P700" s="16"/>
      <c r="Q700" s="16"/>
      <c r="R700" s="16"/>
      <c r="S700" s="16"/>
      <c r="T700" s="16"/>
      <c r="U700" s="16"/>
      <c r="V700" s="16"/>
      <c r="W700" s="16"/>
      <c r="X700" s="16"/>
      <c r="Y700" s="16"/>
      <c r="Z700" s="16"/>
      <c r="AA700" s="16"/>
      <c r="AB700" s="16"/>
      <c r="AC700" s="16"/>
      <c r="AD700" s="16"/>
    </row>
    <row r="701" spans="2:30" ht="15.75" customHeight="1">
      <c r="B701" s="14"/>
      <c r="C701" s="14"/>
      <c r="D701" s="14"/>
      <c r="E701" s="14"/>
      <c r="F701" s="14"/>
      <c r="G701" s="14"/>
      <c r="H701" s="14"/>
      <c r="I701" s="14"/>
      <c r="J701" s="14"/>
      <c r="K701" s="14"/>
      <c r="L701" s="14"/>
      <c r="M701" s="14"/>
      <c r="N701" s="14"/>
      <c r="O701" s="16"/>
      <c r="P701" s="16"/>
      <c r="Q701" s="16"/>
      <c r="R701" s="16"/>
      <c r="S701" s="16"/>
      <c r="T701" s="16"/>
      <c r="U701" s="16"/>
      <c r="V701" s="16"/>
      <c r="W701" s="16"/>
      <c r="X701" s="16"/>
      <c r="Y701" s="16"/>
      <c r="Z701" s="16"/>
      <c r="AA701" s="16"/>
      <c r="AB701" s="16"/>
      <c r="AC701" s="16"/>
      <c r="AD701" s="16"/>
    </row>
    <row r="702" spans="2:30" ht="15.75" customHeight="1">
      <c r="B702" s="14"/>
      <c r="C702" s="14"/>
      <c r="D702" s="14"/>
      <c r="E702" s="14"/>
      <c r="F702" s="14"/>
      <c r="G702" s="14"/>
      <c r="H702" s="14"/>
      <c r="I702" s="14"/>
      <c r="J702" s="14"/>
      <c r="K702" s="14"/>
      <c r="L702" s="14"/>
      <c r="M702" s="14"/>
      <c r="N702" s="14"/>
      <c r="O702" s="16"/>
      <c r="P702" s="16"/>
      <c r="Q702" s="16"/>
      <c r="R702" s="16"/>
      <c r="S702" s="16"/>
      <c r="T702" s="16"/>
      <c r="U702" s="16"/>
      <c r="V702" s="16"/>
      <c r="W702" s="16"/>
      <c r="X702" s="16"/>
      <c r="Y702" s="16"/>
      <c r="Z702" s="16"/>
      <c r="AA702" s="16"/>
      <c r="AB702" s="16"/>
      <c r="AC702" s="16"/>
      <c r="AD702" s="16"/>
    </row>
    <row r="703" spans="2:30" ht="15.75" customHeight="1">
      <c r="B703" s="14"/>
      <c r="C703" s="14"/>
      <c r="D703" s="14"/>
      <c r="E703" s="14"/>
      <c r="F703" s="14"/>
      <c r="G703" s="14"/>
      <c r="H703" s="14"/>
      <c r="I703" s="14"/>
      <c r="J703" s="14"/>
      <c r="K703" s="14"/>
      <c r="L703" s="14"/>
      <c r="M703" s="14"/>
      <c r="N703" s="14"/>
      <c r="O703" s="16"/>
      <c r="P703" s="16"/>
      <c r="Q703" s="16"/>
      <c r="R703" s="16"/>
      <c r="S703" s="16"/>
      <c r="T703" s="16"/>
      <c r="U703" s="16"/>
      <c r="V703" s="16"/>
      <c r="W703" s="16"/>
      <c r="X703" s="16"/>
      <c r="Y703" s="16"/>
      <c r="Z703" s="16"/>
      <c r="AA703" s="16"/>
      <c r="AB703" s="16"/>
      <c r="AC703" s="16"/>
      <c r="AD703" s="16"/>
    </row>
    <row r="704" spans="2:30" ht="15.75" customHeight="1">
      <c r="B704" s="14"/>
      <c r="C704" s="14"/>
      <c r="D704" s="14"/>
      <c r="E704" s="14"/>
      <c r="F704" s="14"/>
      <c r="G704" s="14"/>
      <c r="H704" s="14"/>
      <c r="I704" s="14"/>
      <c r="J704" s="14"/>
      <c r="K704" s="14"/>
      <c r="L704" s="14"/>
      <c r="M704" s="14"/>
      <c r="N704" s="14"/>
      <c r="O704" s="16"/>
      <c r="P704" s="16"/>
      <c r="Q704" s="16"/>
      <c r="R704" s="16"/>
      <c r="S704" s="16"/>
      <c r="T704" s="16"/>
      <c r="U704" s="16"/>
      <c r="V704" s="16"/>
      <c r="W704" s="16"/>
      <c r="X704" s="16"/>
      <c r="Y704" s="16"/>
      <c r="Z704" s="16"/>
      <c r="AA704" s="16"/>
      <c r="AB704" s="16"/>
      <c r="AC704" s="16"/>
      <c r="AD704" s="16"/>
    </row>
    <row r="705" spans="2:30" ht="15.75" customHeight="1">
      <c r="B705" s="14"/>
      <c r="C705" s="14"/>
      <c r="D705" s="14"/>
      <c r="E705" s="14"/>
      <c r="F705" s="14"/>
      <c r="G705" s="14"/>
      <c r="H705" s="14"/>
      <c r="I705" s="14"/>
      <c r="J705" s="14"/>
      <c r="K705" s="14"/>
      <c r="L705" s="14"/>
      <c r="M705" s="14"/>
      <c r="N705" s="14"/>
      <c r="O705" s="16"/>
      <c r="P705" s="16"/>
      <c r="Q705" s="16"/>
      <c r="R705" s="16"/>
      <c r="S705" s="16"/>
      <c r="T705" s="16"/>
      <c r="U705" s="16"/>
      <c r="V705" s="16"/>
      <c r="W705" s="16"/>
      <c r="X705" s="16"/>
      <c r="Y705" s="16"/>
      <c r="Z705" s="16"/>
      <c r="AA705" s="16"/>
      <c r="AB705" s="16"/>
      <c r="AC705" s="16"/>
      <c r="AD705" s="16"/>
    </row>
    <row r="706" spans="2:30" ht="15.75" customHeight="1">
      <c r="B706" s="14"/>
      <c r="C706" s="14"/>
      <c r="D706" s="14"/>
      <c r="E706" s="14"/>
      <c r="F706" s="14"/>
      <c r="G706" s="14"/>
      <c r="H706" s="14"/>
      <c r="I706" s="14"/>
      <c r="J706" s="14"/>
      <c r="K706" s="14"/>
      <c r="L706" s="14"/>
      <c r="M706" s="14"/>
      <c r="N706" s="14"/>
      <c r="O706" s="16"/>
      <c r="P706" s="16"/>
      <c r="Q706" s="16"/>
      <c r="R706" s="16"/>
      <c r="S706" s="16"/>
      <c r="T706" s="16"/>
      <c r="U706" s="16"/>
      <c r="V706" s="16"/>
      <c r="W706" s="16"/>
      <c r="X706" s="16"/>
      <c r="Y706" s="16"/>
      <c r="Z706" s="16"/>
      <c r="AA706" s="16"/>
      <c r="AB706" s="16"/>
      <c r="AC706" s="16"/>
      <c r="AD706" s="16"/>
    </row>
    <row r="707" spans="2:30" ht="15.75" customHeight="1">
      <c r="B707" s="14"/>
      <c r="C707" s="14"/>
      <c r="D707" s="14"/>
      <c r="E707" s="14"/>
      <c r="F707" s="14"/>
      <c r="G707" s="14"/>
      <c r="H707" s="14"/>
      <c r="I707" s="14"/>
      <c r="J707" s="14"/>
      <c r="K707" s="14"/>
      <c r="L707" s="14"/>
      <c r="M707" s="14"/>
      <c r="N707" s="14"/>
      <c r="O707" s="16"/>
      <c r="P707" s="16"/>
      <c r="Q707" s="16"/>
      <c r="R707" s="16"/>
      <c r="S707" s="16"/>
      <c r="T707" s="16"/>
      <c r="U707" s="16"/>
      <c r="V707" s="16"/>
      <c r="W707" s="16"/>
      <c r="X707" s="16"/>
      <c r="Y707" s="16"/>
      <c r="Z707" s="16"/>
      <c r="AA707" s="16"/>
      <c r="AB707" s="16"/>
      <c r="AC707" s="16"/>
      <c r="AD707" s="16"/>
    </row>
    <row r="708" spans="2:30" ht="15.75" customHeight="1">
      <c r="B708" s="14"/>
      <c r="C708" s="14"/>
      <c r="D708" s="14"/>
      <c r="E708" s="14"/>
      <c r="F708" s="14"/>
      <c r="G708" s="14"/>
      <c r="H708" s="14"/>
      <c r="I708" s="14"/>
      <c r="J708" s="14"/>
      <c r="K708" s="14"/>
      <c r="L708" s="14"/>
      <c r="M708" s="14"/>
      <c r="N708" s="14"/>
      <c r="O708" s="16"/>
      <c r="P708" s="16"/>
      <c r="Q708" s="16"/>
      <c r="R708" s="16"/>
      <c r="S708" s="16"/>
      <c r="T708" s="16"/>
      <c r="U708" s="16"/>
      <c r="V708" s="16"/>
      <c r="W708" s="16"/>
      <c r="X708" s="16"/>
      <c r="Y708" s="16"/>
      <c r="Z708" s="16"/>
      <c r="AA708" s="16"/>
      <c r="AB708" s="16"/>
      <c r="AC708" s="16"/>
      <c r="AD708" s="16"/>
    </row>
    <row r="709" spans="2:30" ht="15.75" customHeight="1">
      <c r="B709" s="14"/>
      <c r="C709" s="14"/>
      <c r="D709" s="14"/>
      <c r="E709" s="14"/>
      <c r="F709" s="14"/>
      <c r="G709" s="14"/>
      <c r="H709" s="14"/>
      <c r="I709" s="14"/>
      <c r="J709" s="14"/>
      <c r="K709" s="14"/>
      <c r="L709" s="14"/>
      <c r="M709" s="14"/>
      <c r="N709" s="14"/>
      <c r="O709" s="16"/>
      <c r="P709" s="16"/>
      <c r="Q709" s="16"/>
      <c r="R709" s="16"/>
      <c r="S709" s="16"/>
      <c r="T709" s="16"/>
      <c r="U709" s="16"/>
      <c r="V709" s="16"/>
      <c r="W709" s="16"/>
      <c r="X709" s="16"/>
      <c r="Y709" s="16"/>
      <c r="Z709" s="16"/>
      <c r="AA709" s="16"/>
      <c r="AB709" s="16"/>
      <c r="AC709" s="16"/>
      <c r="AD709" s="16"/>
    </row>
    <row r="710" spans="2:30" ht="15.75" customHeight="1">
      <c r="B710" s="14"/>
      <c r="C710" s="14"/>
      <c r="D710" s="14"/>
      <c r="E710" s="14"/>
      <c r="F710" s="14"/>
      <c r="G710" s="14"/>
      <c r="H710" s="14"/>
      <c r="I710" s="14"/>
      <c r="J710" s="14"/>
      <c r="K710" s="14"/>
      <c r="L710" s="14"/>
      <c r="M710" s="14"/>
      <c r="N710" s="14"/>
      <c r="O710" s="16"/>
      <c r="P710" s="16"/>
      <c r="Q710" s="16"/>
      <c r="R710" s="16"/>
      <c r="S710" s="16"/>
      <c r="T710" s="16"/>
      <c r="U710" s="16"/>
      <c r="V710" s="16"/>
      <c r="W710" s="16"/>
      <c r="X710" s="16"/>
      <c r="Y710" s="16"/>
      <c r="Z710" s="16"/>
      <c r="AA710" s="16"/>
      <c r="AB710" s="16"/>
      <c r="AC710" s="16"/>
      <c r="AD710" s="16"/>
    </row>
    <row r="711" spans="2:30" ht="15.75" customHeight="1">
      <c r="B711" s="14"/>
      <c r="C711" s="14"/>
      <c r="D711" s="14"/>
      <c r="E711" s="14"/>
      <c r="F711" s="14"/>
      <c r="G711" s="14"/>
      <c r="H711" s="14"/>
      <c r="I711" s="14"/>
      <c r="J711" s="14"/>
      <c r="K711" s="14"/>
      <c r="L711" s="14"/>
      <c r="M711" s="14"/>
      <c r="N711" s="14"/>
      <c r="O711" s="16"/>
      <c r="P711" s="16"/>
      <c r="Q711" s="16"/>
      <c r="R711" s="16"/>
      <c r="S711" s="16"/>
      <c r="T711" s="16"/>
      <c r="U711" s="16"/>
      <c r="V711" s="16"/>
      <c r="W711" s="16"/>
      <c r="X711" s="16"/>
      <c r="Y711" s="16"/>
      <c r="Z711" s="16"/>
      <c r="AA711" s="16"/>
      <c r="AB711" s="16"/>
      <c r="AC711" s="16"/>
      <c r="AD711" s="16"/>
    </row>
    <row r="712" spans="2:30" ht="15.75" customHeight="1">
      <c r="B712" s="14"/>
      <c r="C712" s="14"/>
      <c r="D712" s="14"/>
      <c r="E712" s="14"/>
      <c r="F712" s="14"/>
      <c r="G712" s="14"/>
      <c r="H712" s="14"/>
      <c r="I712" s="14"/>
      <c r="J712" s="14"/>
      <c r="K712" s="14"/>
      <c r="L712" s="14"/>
      <c r="M712" s="14"/>
      <c r="N712" s="14"/>
      <c r="O712" s="16"/>
      <c r="P712" s="16"/>
      <c r="Q712" s="16"/>
      <c r="R712" s="16"/>
      <c r="S712" s="16"/>
      <c r="T712" s="16"/>
      <c r="U712" s="16"/>
      <c r="V712" s="16"/>
      <c r="W712" s="16"/>
      <c r="X712" s="16"/>
      <c r="Y712" s="16"/>
      <c r="Z712" s="16"/>
      <c r="AA712" s="16"/>
      <c r="AB712" s="16"/>
      <c r="AC712" s="16"/>
      <c r="AD712" s="16"/>
    </row>
    <row r="713" spans="2:30" ht="15.75" customHeight="1">
      <c r="B713" s="14"/>
      <c r="C713" s="14"/>
      <c r="D713" s="14"/>
      <c r="E713" s="14"/>
      <c r="F713" s="14"/>
      <c r="G713" s="14"/>
      <c r="H713" s="14"/>
      <c r="I713" s="14"/>
      <c r="J713" s="14"/>
      <c r="K713" s="14"/>
      <c r="L713" s="14"/>
      <c r="M713" s="14"/>
      <c r="N713" s="14"/>
      <c r="O713" s="16"/>
      <c r="P713" s="16"/>
      <c r="Q713" s="16"/>
      <c r="R713" s="16"/>
      <c r="S713" s="16"/>
      <c r="T713" s="16"/>
      <c r="U713" s="16"/>
      <c r="V713" s="16"/>
      <c r="W713" s="16"/>
      <c r="X713" s="16"/>
      <c r="Y713" s="16"/>
      <c r="Z713" s="16"/>
      <c r="AA713" s="16"/>
      <c r="AB713" s="16"/>
      <c r="AC713" s="16"/>
      <c r="AD713" s="16"/>
    </row>
    <row r="714" spans="2:30" ht="15.75" customHeight="1">
      <c r="B714" s="14"/>
      <c r="C714" s="14"/>
      <c r="D714" s="14"/>
      <c r="E714" s="14"/>
      <c r="F714" s="14"/>
      <c r="G714" s="14"/>
      <c r="H714" s="14"/>
      <c r="I714" s="14"/>
      <c r="J714" s="14"/>
      <c r="K714" s="14"/>
      <c r="L714" s="14"/>
      <c r="M714" s="14"/>
      <c r="N714" s="14"/>
      <c r="O714" s="16"/>
      <c r="P714" s="16"/>
      <c r="Q714" s="16"/>
      <c r="R714" s="16"/>
      <c r="S714" s="16"/>
      <c r="T714" s="16"/>
      <c r="U714" s="16"/>
      <c r="V714" s="16"/>
      <c r="W714" s="16"/>
      <c r="X714" s="16"/>
      <c r="Y714" s="16"/>
      <c r="Z714" s="16"/>
      <c r="AA714" s="16"/>
      <c r="AB714" s="16"/>
      <c r="AC714" s="16"/>
      <c r="AD714" s="16"/>
    </row>
    <row r="715" spans="2:30" ht="15.75" customHeight="1">
      <c r="B715" s="14"/>
      <c r="C715" s="14"/>
      <c r="D715" s="14"/>
      <c r="E715" s="14"/>
      <c r="F715" s="14"/>
      <c r="G715" s="14"/>
      <c r="H715" s="14"/>
      <c r="I715" s="14"/>
      <c r="J715" s="14"/>
      <c r="K715" s="14"/>
      <c r="L715" s="14"/>
      <c r="M715" s="14"/>
      <c r="N715" s="14"/>
      <c r="O715" s="16"/>
      <c r="P715" s="16"/>
      <c r="Q715" s="16"/>
      <c r="R715" s="16"/>
      <c r="S715" s="16"/>
      <c r="T715" s="16"/>
      <c r="U715" s="16"/>
      <c r="V715" s="16"/>
      <c r="W715" s="16"/>
      <c r="X715" s="16"/>
      <c r="Y715" s="16"/>
      <c r="Z715" s="16"/>
      <c r="AA715" s="16"/>
      <c r="AB715" s="16"/>
      <c r="AC715" s="16"/>
      <c r="AD715" s="16"/>
    </row>
    <row r="716" spans="2:30" ht="15.75" customHeight="1">
      <c r="B716" s="14"/>
      <c r="C716" s="14"/>
      <c r="D716" s="14"/>
      <c r="E716" s="14"/>
      <c r="F716" s="14"/>
      <c r="G716" s="14"/>
      <c r="H716" s="14"/>
      <c r="I716" s="14"/>
      <c r="J716" s="14"/>
      <c r="K716" s="14"/>
      <c r="L716" s="14"/>
      <c r="M716" s="14"/>
      <c r="N716" s="14"/>
      <c r="O716" s="16"/>
      <c r="P716" s="16"/>
      <c r="Q716" s="16"/>
      <c r="R716" s="16"/>
      <c r="S716" s="16"/>
      <c r="T716" s="16"/>
      <c r="U716" s="16"/>
      <c r="V716" s="16"/>
      <c r="W716" s="16"/>
      <c r="X716" s="16"/>
      <c r="Y716" s="16"/>
      <c r="Z716" s="16"/>
      <c r="AA716" s="16"/>
      <c r="AB716" s="16"/>
      <c r="AC716" s="16"/>
      <c r="AD716" s="16"/>
    </row>
    <row r="717" spans="2:30" ht="15.75" customHeight="1">
      <c r="B717" s="14"/>
      <c r="C717" s="14"/>
      <c r="D717" s="14"/>
      <c r="E717" s="14"/>
      <c r="F717" s="14"/>
      <c r="G717" s="14"/>
      <c r="H717" s="14"/>
      <c r="I717" s="14"/>
      <c r="J717" s="14"/>
      <c r="K717" s="14"/>
      <c r="L717" s="14"/>
      <c r="M717" s="14"/>
      <c r="N717" s="14"/>
      <c r="O717" s="16"/>
      <c r="P717" s="16"/>
      <c r="Q717" s="16"/>
      <c r="R717" s="16"/>
      <c r="S717" s="16"/>
      <c r="T717" s="16"/>
      <c r="U717" s="16"/>
      <c r="V717" s="16"/>
      <c r="W717" s="16"/>
      <c r="X717" s="16"/>
      <c r="Y717" s="16"/>
      <c r="Z717" s="16"/>
      <c r="AA717" s="16"/>
      <c r="AB717" s="16"/>
      <c r="AC717" s="16"/>
      <c r="AD717" s="16"/>
    </row>
    <row r="718" spans="2:30" ht="15.75" customHeight="1">
      <c r="B718" s="14"/>
      <c r="C718" s="14"/>
      <c r="D718" s="14"/>
      <c r="E718" s="14"/>
      <c r="F718" s="14"/>
      <c r="G718" s="14"/>
      <c r="H718" s="14"/>
      <c r="I718" s="14"/>
      <c r="J718" s="14"/>
      <c r="K718" s="14"/>
      <c r="L718" s="14"/>
      <c r="M718" s="14"/>
      <c r="N718" s="14"/>
      <c r="O718" s="16"/>
      <c r="P718" s="16"/>
      <c r="Q718" s="16"/>
      <c r="R718" s="16"/>
      <c r="S718" s="16"/>
      <c r="T718" s="16"/>
      <c r="U718" s="16"/>
      <c r="V718" s="16"/>
      <c r="W718" s="16"/>
      <c r="X718" s="16"/>
      <c r="Y718" s="16"/>
      <c r="Z718" s="16"/>
      <c r="AA718" s="16"/>
      <c r="AB718" s="16"/>
      <c r="AC718" s="16"/>
      <c r="AD718" s="16"/>
    </row>
    <row r="719" spans="2:30" ht="15.75" customHeight="1">
      <c r="B719" s="14"/>
      <c r="C719" s="14"/>
      <c r="D719" s="14"/>
      <c r="E719" s="14"/>
      <c r="F719" s="14"/>
      <c r="G719" s="14"/>
      <c r="H719" s="14"/>
      <c r="I719" s="14"/>
      <c r="J719" s="14"/>
      <c r="K719" s="14"/>
      <c r="L719" s="14"/>
      <c r="M719" s="14"/>
      <c r="N719" s="14"/>
      <c r="O719" s="16"/>
      <c r="P719" s="16"/>
      <c r="Q719" s="16"/>
      <c r="R719" s="16"/>
      <c r="S719" s="16"/>
      <c r="T719" s="16"/>
      <c r="U719" s="16"/>
      <c r="V719" s="16"/>
      <c r="W719" s="16"/>
      <c r="X719" s="16"/>
      <c r="Y719" s="16"/>
      <c r="Z719" s="16"/>
      <c r="AA719" s="16"/>
      <c r="AB719" s="16"/>
      <c r="AC719" s="16"/>
      <c r="AD719" s="16"/>
    </row>
    <row r="720" spans="2:30" ht="15.75" customHeight="1">
      <c r="B720" s="14"/>
      <c r="C720" s="14"/>
      <c r="D720" s="14"/>
      <c r="E720" s="14"/>
      <c r="F720" s="14"/>
      <c r="G720" s="14"/>
      <c r="H720" s="14"/>
      <c r="I720" s="14"/>
      <c r="J720" s="14"/>
      <c r="K720" s="14"/>
      <c r="L720" s="14"/>
      <c r="M720" s="14"/>
      <c r="N720" s="14"/>
      <c r="O720" s="16"/>
      <c r="P720" s="16"/>
      <c r="Q720" s="16"/>
      <c r="R720" s="16"/>
      <c r="S720" s="16"/>
      <c r="T720" s="16"/>
      <c r="U720" s="16"/>
      <c r="V720" s="16"/>
      <c r="W720" s="16"/>
      <c r="X720" s="16"/>
      <c r="Y720" s="16"/>
      <c r="Z720" s="16"/>
      <c r="AA720" s="16"/>
      <c r="AB720" s="16"/>
      <c r="AC720" s="16"/>
      <c r="AD720" s="16"/>
    </row>
    <row r="721" spans="2:30" ht="15.75" customHeight="1">
      <c r="B721" s="14"/>
      <c r="C721" s="14"/>
      <c r="D721" s="14"/>
      <c r="E721" s="14"/>
      <c r="F721" s="14"/>
      <c r="G721" s="14"/>
      <c r="H721" s="14"/>
      <c r="I721" s="14"/>
      <c r="J721" s="14"/>
      <c r="K721" s="14"/>
      <c r="L721" s="14"/>
      <c r="M721" s="14"/>
      <c r="N721" s="14"/>
      <c r="O721" s="16"/>
      <c r="P721" s="16"/>
      <c r="Q721" s="16"/>
      <c r="R721" s="16"/>
      <c r="S721" s="16"/>
      <c r="T721" s="16"/>
      <c r="U721" s="16"/>
      <c r="V721" s="16"/>
      <c r="W721" s="16"/>
      <c r="X721" s="16"/>
      <c r="Y721" s="16"/>
      <c r="Z721" s="16"/>
      <c r="AA721" s="16"/>
      <c r="AB721" s="16"/>
      <c r="AC721" s="16"/>
      <c r="AD721" s="16"/>
    </row>
    <row r="722" spans="2:30" ht="15.75" customHeight="1">
      <c r="B722" s="14"/>
      <c r="C722" s="14"/>
      <c r="D722" s="14"/>
      <c r="E722" s="14"/>
      <c r="F722" s="14"/>
      <c r="G722" s="14"/>
      <c r="H722" s="14"/>
      <c r="I722" s="14"/>
      <c r="J722" s="14"/>
      <c r="K722" s="14"/>
      <c r="L722" s="14"/>
      <c r="M722" s="14"/>
      <c r="N722" s="14"/>
      <c r="O722" s="16"/>
      <c r="P722" s="16"/>
      <c r="Q722" s="16"/>
      <c r="R722" s="16"/>
      <c r="S722" s="16"/>
      <c r="T722" s="16"/>
      <c r="U722" s="16"/>
      <c r="V722" s="16"/>
      <c r="W722" s="16"/>
      <c r="X722" s="16"/>
      <c r="Y722" s="16"/>
      <c r="Z722" s="16"/>
      <c r="AA722" s="16"/>
      <c r="AB722" s="16"/>
      <c r="AC722" s="16"/>
      <c r="AD722" s="16"/>
    </row>
    <row r="723" spans="2:30" ht="15.75" customHeight="1">
      <c r="B723" s="14"/>
      <c r="C723" s="14"/>
      <c r="D723" s="14"/>
      <c r="E723" s="14"/>
      <c r="F723" s="14"/>
      <c r="G723" s="14"/>
      <c r="H723" s="14"/>
      <c r="I723" s="14"/>
      <c r="J723" s="14"/>
      <c r="K723" s="14"/>
      <c r="L723" s="14"/>
      <c r="M723" s="14"/>
      <c r="N723" s="14"/>
      <c r="O723" s="16"/>
      <c r="P723" s="16"/>
      <c r="Q723" s="16"/>
      <c r="R723" s="16"/>
      <c r="S723" s="16"/>
      <c r="T723" s="16"/>
      <c r="U723" s="16"/>
      <c r="V723" s="16"/>
      <c r="W723" s="16"/>
      <c r="X723" s="16"/>
      <c r="Y723" s="16"/>
      <c r="Z723" s="16"/>
      <c r="AA723" s="16"/>
      <c r="AB723" s="16"/>
      <c r="AC723" s="16"/>
      <c r="AD723" s="16"/>
    </row>
    <row r="724" spans="2:30" ht="15.75" customHeight="1">
      <c r="B724" s="14"/>
      <c r="C724" s="14"/>
      <c r="D724" s="14"/>
      <c r="E724" s="14"/>
      <c r="F724" s="14"/>
      <c r="G724" s="14"/>
      <c r="H724" s="14"/>
      <c r="I724" s="14"/>
      <c r="J724" s="14"/>
      <c r="K724" s="14"/>
      <c r="L724" s="14"/>
      <c r="M724" s="14"/>
      <c r="N724" s="14"/>
      <c r="O724" s="16"/>
      <c r="P724" s="16"/>
      <c r="Q724" s="16"/>
      <c r="R724" s="16"/>
      <c r="S724" s="16"/>
      <c r="T724" s="16"/>
      <c r="U724" s="16"/>
      <c r="V724" s="16"/>
      <c r="W724" s="16"/>
      <c r="X724" s="16"/>
      <c r="Y724" s="16"/>
      <c r="Z724" s="16"/>
      <c r="AA724" s="16"/>
      <c r="AB724" s="16"/>
      <c r="AC724" s="16"/>
      <c r="AD724" s="16"/>
    </row>
    <row r="725" spans="2:30" ht="15.75" customHeight="1">
      <c r="B725" s="14"/>
      <c r="C725" s="14"/>
      <c r="D725" s="14"/>
      <c r="E725" s="14"/>
      <c r="F725" s="14"/>
      <c r="G725" s="14"/>
      <c r="H725" s="14"/>
      <c r="I725" s="14"/>
      <c r="J725" s="14"/>
      <c r="K725" s="14"/>
      <c r="L725" s="14"/>
      <c r="M725" s="14"/>
      <c r="N725" s="14"/>
      <c r="O725" s="16"/>
      <c r="P725" s="16"/>
      <c r="Q725" s="16"/>
      <c r="R725" s="16"/>
      <c r="S725" s="16"/>
      <c r="T725" s="16"/>
      <c r="U725" s="16"/>
      <c r="V725" s="16"/>
      <c r="W725" s="16"/>
      <c r="X725" s="16"/>
      <c r="Y725" s="16"/>
      <c r="Z725" s="16"/>
      <c r="AA725" s="16"/>
      <c r="AB725" s="16"/>
      <c r="AC725" s="16"/>
      <c r="AD725" s="16"/>
    </row>
    <row r="726" spans="2:30" ht="15.75" customHeight="1">
      <c r="B726" s="14"/>
      <c r="C726" s="14"/>
      <c r="D726" s="14"/>
      <c r="E726" s="14"/>
      <c r="F726" s="14"/>
      <c r="G726" s="14"/>
      <c r="H726" s="14"/>
      <c r="I726" s="14"/>
      <c r="J726" s="14"/>
      <c r="K726" s="14"/>
      <c r="L726" s="14"/>
      <c r="M726" s="14"/>
      <c r="N726" s="14"/>
      <c r="O726" s="16"/>
      <c r="P726" s="16"/>
      <c r="Q726" s="16"/>
      <c r="R726" s="16"/>
      <c r="S726" s="16"/>
      <c r="T726" s="16"/>
      <c r="U726" s="16"/>
      <c r="V726" s="16"/>
      <c r="W726" s="16"/>
      <c r="X726" s="16"/>
      <c r="Y726" s="16"/>
      <c r="Z726" s="16"/>
      <c r="AA726" s="16"/>
      <c r="AB726" s="16"/>
      <c r="AC726" s="16"/>
      <c r="AD726" s="16"/>
    </row>
    <row r="727" spans="2:30" ht="15.75" customHeight="1">
      <c r="B727" s="14"/>
      <c r="C727" s="14"/>
      <c r="D727" s="14"/>
      <c r="E727" s="14"/>
      <c r="F727" s="14"/>
      <c r="G727" s="14"/>
      <c r="H727" s="14"/>
      <c r="I727" s="14"/>
      <c r="J727" s="14"/>
      <c r="K727" s="14"/>
      <c r="L727" s="14"/>
      <c r="M727" s="14"/>
      <c r="N727" s="14"/>
      <c r="O727" s="16"/>
      <c r="P727" s="16"/>
      <c r="Q727" s="16"/>
      <c r="R727" s="16"/>
      <c r="S727" s="16"/>
      <c r="T727" s="16"/>
      <c r="U727" s="16"/>
      <c r="V727" s="16"/>
      <c r="W727" s="16"/>
      <c r="X727" s="16"/>
      <c r="Y727" s="16"/>
      <c r="Z727" s="16"/>
      <c r="AA727" s="16"/>
      <c r="AB727" s="16"/>
      <c r="AC727" s="16"/>
      <c r="AD727" s="16"/>
    </row>
    <row r="728" spans="2:30" ht="15.75" customHeight="1">
      <c r="B728" s="14"/>
      <c r="C728" s="14"/>
      <c r="D728" s="14"/>
      <c r="E728" s="14"/>
      <c r="F728" s="14"/>
      <c r="G728" s="14"/>
      <c r="H728" s="14"/>
      <c r="I728" s="14"/>
      <c r="J728" s="14"/>
      <c r="K728" s="14"/>
      <c r="L728" s="14"/>
      <c r="M728" s="14"/>
      <c r="N728" s="14"/>
      <c r="O728" s="16"/>
      <c r="P728" s="16"/>
      <c r="Q728" s="16"/>
      <c r="R728" s="16"/>
      <c r="S728" s="16"/>
      <c r="T728" s="16"/>
      <c r="U728" s="16"/>
      <c r="V728" s="16"/>
      <c r="W728" s="16"/>
      <c r="X728" s="16"/>
      <c r="Y728" s="16"/>
      <c r="Z728" s="16"/>
      <c r="AA728" s="16"/>
      <c r="AB728" s="16"/>
      <c r="AC728" s="16"/>
      <c r="AD728" s="16"/>
    </row>
    <row r="729" spans="2:30" ht="15.75" customHeight="1">
      <c r="B729" s="14"/>
      <c r="C729" s="14"/>
      <c r="D729" s="14"/>
      <c r="E729" s="14"/>
      <c r="F729" s="14"/>
      <c r="G729" s="14"/>
      <c r="H729" s="14"/>
      <c r="I729" s="14"/>
      <c r="J729" s="14"/>
      <c r="K729" s="14"/>
      <c r="L729" s="14"/>
      <c r="M729" s="14"/>
      <c r="N729" s="14"/>
      <c r="O729" s="16"/>
      <c r="P729" s="16"/>
      <c r="Q729" s="16"/>
      <c r="R729" s="16"/>
      <c r="S729" s="16"/>
      <c r="T729" s="16"/>
      <c r="U729" s="16"/>
      <c r="V729" s="16"/>
      <c r="W729" s="16"/>
      <c r="X729" s="16"/>
      <c r="Y729" s="16"/>
      <c r="Z729" s="16"/>
      <c r="AA729" s="16"/>
      <c r="AB729" s="16"/>
      <c r="AC729" s="16"/>
      <c r="AD729" s="16"/>
    </row>
    <row r="730" spans="2:30" ht="15.75" customHeight="1">
      <c r="B730" s="14"/>
      <c r="C730" s="14"/>
      <c r="D730" s="14"/>
      <c r="E730" s="14"/>
      <c r="F730" s="14"/>
      <c r="G730" s="14"/>
      <c r="H730" s="14"/>
      <c r="I730" s="14"/>
      <c r="J730" s="14"/>
      <c r="K730" s="14"/>
      <c r="L730" s="14"/>
      <c r="M730" s="14"/>
      <c r="N730" s="14"/>
      <c r="O730" s="16"/>
      <c r="P730" s="16"/>
      <c r="Q730" s="16"/>
      <c r="R730" s="16"/>
      <c r="S730" s="16"/>
      <c r="T730" s="16"/>
      <c r="U730" s="16"/>
      <c r="V730" s="16"/>
      <c r="W730" s="16"/>
      <c r="X730" s="16"/>
      <c r="Y730" s="16"/>
      <c r="Z730" s="16"/>
      <c r="AA730" s="16"/>
      <c r="AB730" s="16"/>
      <c r="AC730" s="16"/>
      <c r="AD730" s="16"/>
    </row>
    <row r="731" spans="2:30" ht="15.75" customHeight="1">
      <c r="B731" s="14"/>
      <c r="C731" s="14"/>
      <c r="D731" s="14"/>
      <c r="E731" s="14"/>
      <c r="F731" s="14"/>
      <c r="G731" s="14"/>
      <c r="H731" s="14"/>
      <c r="I731" s="14"/>
      <c r="J731" s="14"/>
      <c r="K731" s="14"/>
      <c r="L731" s="14"/>
      <c r="M731" s="14"/>
      <c r="N731" s="14"/>
      <c r="O731" s="16"/>
      <c r="P731" s="16"/>
      <c r="Q731" s="16"/>
      <c r="R731" s="16"/>
      <c r="S731" s="16"/>
      <c r="T731" s="16"/>
      <c r="U731" s="16"/>
      <c r="V731" s="16"/>
      <c r="W731" s="16"/>
      <c r="X731" s="16"/>
      <c r="Y731" s="16"/>
      <c r="Z731" s="16"/>
      <c r="AA731" s="16"/>
      <c r="AB731" s="16"/>
      <c r="AC731" s="16"/>
      <c r="AD731" s="16"/>
    </row>
    <row r="732" spans="2:30" ht="15.75" customHeight="1">
      <c r="B732" s="14"/>
      <c r="C732" s="14"/>
      <c r="D732" s="14"/>
      <c r="E732" s="14"/>
      <c r="F732" s="14"/>
      <c r="G732" s="14"/>
      <c r="H732" s="14"/>
      <c r="I732" s="14"/>
      <c r="J732" s="14"/>
      <c r="K732" s="14"/>
      <c r="L732" s="14"/>
      <c r="M732" s="14"/>
      <c r="N732" s="14"/>
      <c r="O732" s="16"/>
      <c r="P732" s="16"/>
      <c r="Q732" s="16"/>
      <c r="R732" s="16"/>
      <c r="S732" s="16"/>
      <c r="T732" s="16"/>
      <c r="U732" s="16"/>
      <c r="V732" s="16"/>
      <c r="W732" s="16"/>
      <c r="X732" s="16"/>
      <c r="Y732" s="16"/>
      <c r="Z732" s="16"/>
      <c r="AA732" s="16"/>
      <c r="AB732" s="16"/>
      <c r="AC732" s="16"/>
      <c r="AD732" s="16"/>
    </row>
    <row r="733" spans="2:30" ht="15.75" customHeight="1">
      <c r="B733" s="14"/>
      <c r="C733" s="14"/>
      <c r="D733" s="14"/>
      <c r="E733" s="14"/>
      <c r="F733" s="14"/>
      <c r="G733" s="14"/>
      <c r="H733" s="14"/>
      <c r="I733" s="14"/>
      <c r="J733" s="14"/>
      <c r="K733" s="14"/>
      <c r="L733" s="14"/>
      <c r="M733" s="14"/>
      <c r="N733" s="14"/>
      <c r="O733" s="16"/>
      <c r="P733" s="16"/>
      <c r="Q733" s="16"/>
      <c r="R733" s="16"/>
      <c r="S733" s="16"/>
      <c r="T733" s="16"/>
      <c r="U733" s="16"/>
      <c r="V733" s="16"/>
      <c r="W733" s="16"/>
      <c r="X733" s="16"/>
      <c r="Y733" s="16"/>
      <c r="Z733" s="16"/>
      <c r="AA733" s="16"/>
      <c r="AB733" s="16"/>
      <c r="AC733" s="16"/>
      <c r="AD733" s="16"/>
    </row>
    <row r="734" spans="2:30" ht="15.75" customHeight="1">
      <c r="B734" s="14"/>
      <c r="C734" s="14"/>
      <c r="D734" s="14"/>
      <c r="E734" s="14"/>
      <c r="F734" s="14"/>
      <c r="G734" s="14"/>
      <c r="H734" s="14"/>
      <c r="I734" s="14"/>
      <c r="J734" s="14"/>
      <c r="K734" s="14"/>
      <c r="L734" s="14"/>
      <c r="M734" s="14"/>
      <c r="N734" s="14"/>
      <c r="O734" s="16"/>
      <c r="P734" s="16"/>
      <c r="Q734" s="16"/>
      <c r="R734" s="16"/>
      <c r="S734" s="16"/>
      <c r="T734" s="16"/>
      <c r="U734" s="16"/>
      <c r="V734" s="16"/>
      <c r="W734" s="16"/>
      <c r="X734" s="16"/>
      <c r="Y734" s="16"/>
      <c r="Z734" s="16"/>
      <c r="AA734" s="16"/>
      <c r="AB734" s="16"/>
      <c r="AC734" s="16"/>
      <c r="AD734" s="16"/>
    </row>
    <row r="735" spans="2:30" ht="15.75" customHeight="1">
      <c r="B735" s="14"/>
      <c r="C735" s="14"/>
      <c r="D735" s="14"/>
      <c r="E735" s="14"/>
      <c r="F735" s="14"/>
      <c r="G735" s="14"/>
      <c r="H735" s="14"/>
      <c r="I735" s="14"/>
      <c r="J735" s="14"/>
      <c r="K735" s="14"/>
      <c r="L735" s="14"/>
      <c r="M735" s="14"/>
      <c r="N735" s="14"/>
      <c r="O735" s="16"/>
      <c r="P735" s="16"/>
      <c r="Q735" s="16"/>
      <c r="R735" s="16"/>
      <c r="S735" s="16"/>
      <c r="T735" s="16"/>
      <c r="U735" s="16"/>
      <c r="V735" s="16"/>
      <c r="W735" s="16"/>
      <c r="X735" s="16"/>
      <c r="Y735" s="16"/>
      <c r="Z735" s="16"/>
      <c r="AA735" s="16"/>
      <c r="AB735" s="16"/>
      <c r="AC735" s="16"/>
      <c r="AD735" s="16"/>
    </row>
    <row r="736" spans="2:30" ht="15.75" customHeight="1">
      <c r="B736" s="14"/>
      <c r="C736" s="14"/>
      <c r="D736" s="14"/>
      <c r="E736" s="14"/>
      <c r="F736" s="14"/>
      <c r="G736" s="14"/>
      <c r="H736" s="14"/>
      <c r="I736" s="14"/>
      <c r="J736" s="14"/>
      <c r="K736" s="14"/>
      <c r="L736" s="14"/>
      <c r="M736" s="14"/>
      <c r="N736" s="14"/>
      <c r="O736" s="16"/>
      <c r="P736" s="16"/>
      <c r="Q736" s="16"/>
      <c r="R736" s="16"/>
      <c r="S736" s="16"/>
      <c r="T736" s="16"/>
      <c r="U736" s="16"/>
      <c r="V736" s="16"/>
      <c r="W736" s="16"/>
      <c r="X736" s="16"/>
      <c r="Y736" s="16"/>
      <c r="Z736" s="16"/>
      <c r="AA736" s="16"/>
      <c r="AB736" s="16"/>
      <c r="AC736" s="16"/>
      <c r="AD736" s="16"/>
    </row>
    <row r="737" spans="2:30" ht="15.75" customHeight="1">
      <c r="B737" s="14"/>
      <c r="C737" s="14"/>
      <c r="D737" s="14"/>
      <c r="E737" s="14"/>
      <c r="F737" s="14"/>
      <c r="G737" s="14"/>
      <c r="H737" s="14"/>
      <c r="I737" s="14"/>
      <c r="J737" s="14"/>
      <c r="K737" s="14"/>
      <c r="L737" s="14"/>
      <c r="M737" s="14"/>
      <c r="N737" s="14"/>
      <c r="O737" s="16"/>
      <c r="P737" s="16"/>
      <c r="Q737" s="16"/>
      <c r="R737" s="16"/>
      <c r="S737" s="16"/>
      <c r="T737" s="16"/>
      <c r="U737" s="16"/>
      <c r="V737" s="16"/>
      <c r="W737" s="16"/>
      <c r="X737" s="16"/>
      <c r="Y737" s="16"/>
      <c r="Z737" s="16"/>
      <c r="AA737" s="16"/>
      <c r="AB737" s="16"/>
      <c r="AC737" s="16"/>
      <c r="AD737" s="16"/>
    </row>
    <row r="738" spans="2:30" ht="15.75" customHeight="1">
      <c r="B738" s="14"/>
      <c r="C738" s="14"/>
      <c r="D738" s="14"/>
      <c r="E738" s="14"/>
      <c r="F738" s="14"/>
      <c r="G738" s="14"/>
      <c r="H738" s="14"/>
      <c r="I738" s="14"/>
      <c r="J738" s="14"/>
      <c r="K738" s="14"/>
      <c r="L738" s="14"/>
      <c r="M738" s="14"/>
      <c r="N738" s="14"/>
      <c r="O738" s="16"/>
      <c r="P738" s="16"/>
      <c r="Q738" s="16"/>
      <c r="R738" s="16"/>
      <c r="S738" s="16"/>
      <c r="T738" s="16"/>
      <c r="U738" s="16"/>
      <c r="V738" s="16"/>
      <c r="W738" s="16"/>
      <c r="X738" s="16"/>
      <c r="Y738" s="16"/>
      <c r="Z738" s="16"/>
      <c r="AA738" s="16"/>
      <c r="AB738" s="16"/>
      <c r="AC738" s="16"/>
      <c r="AD738" s="16"/>
    </row>
    <row r="739" spans="2:30" ht="15.75" customHeight="1">
      <c r="B739" s="14"/>
      <c r="C739" s="14"/>
      <c r="D739" s="14"/>
      <c r="E739" s="14"/>
      <c r="F739" s="14"/>
      <c r="G739" s="14"/>
      <c r="H739" s="14"/>
      <c r="I739" s="14"/>
      <c r="J739" s="14"/>
      <c r="K739" s="14"/>
      <c r="L739" s="14"/>
      <c r="M739" s="14"/>
      <c r="N739" s="14"/>
      <c r="O739" s="16"/>
      <c r="P739" s="16"/>
      <c r="Q739" s="16"/>
      <c r="R739" s="16"/>
      <c r="S739" s="16"/>
      <c r="T739" s="16"/>
      <c r="U739" s="16"/>
      <c r="V739" s="16"/>
      <c r="W739" s="16"/>
      <c r="X739" s="16"/>
      <c r="Y739" s="16"/>
      <c r="Z739" s="16"/>
      <c r="AA739" s="16"/>
      <c r="AB739" s="16"/>
      <c r="AC739" s="16"/>
      <c r="AD739" s="16"/>
    </row>
    <row r="740" spans="2:30" ht="15.75" customHeight="1">
      <c r="B740" s="14"/>
      <c r="C740" s="14"/>
      <c r="D740" s="14"/>
      <c r="E740" s="14"/>
      <c r="F740" s="14"/>
      <c r="G740" s="14"/>
      <c r="H740" s="14"/>
      <c r="I740" s="14"/>
      <c r="J740" s="14"/>
      <c r="K740" s="14"/>
      <c r="L740" s="14"/>
      <c r="M740" s="14"/>
      <c r="N740" s="14"/>
      <c r="O740" s="16"/>
      <c r="P740" s="16"/>
      <c r="Q740" s="16"/>
      <c r="R740" s="16"/>
      <c r="S740" s="16"/>
      <c r="T740" s="16"/>
      <c r="U740" s="16"/>
      <c r="V740" s="16"/>
      <c r="W740" s="16"/>
      <c r="X740" s="16"/>
      <c r="Y740" s="16"/>
      <c r="Z740" s="16"/>
      <c r="AA740" s="16"/>
      <c r="AB740" s="16"/>
      <c r="AC740" s="16"/>
      <c r="AD740" s="16"/>
    </row>
    <row r="741" spans="2:30" ht="15.75" customHeight="1">
      <c r="B741" s="14"/>
      <c r="C741" s="14"/>
      <c r="D741" s="14"/>
      <c r="E741" s="14"/>
      <c r="F741" s="14"/>
      <c r="G741" s="14"/>
      <c r="H741" s="14"/>
      <c r="I741" s="14"/>
      <c r="J741" s="14"/>
      <c r="K741" s="14"/>
      <c r="L741" s="14"/>
      <c r="M741" s="14"/>
      <c r="N741" s="14"/>
      <c r="O741" s="16"/>
      <c r="P741" s="16"/>
      <c r="Q741" s="16"/>
      <c r="R741" s="16"/>
      <c r="S741" s="16"/>
      <c r="T741" s="16"/>
      <c r="U741" s="16"/>
      <c r="V741" s="16"/>
      <c r="W741" s="16"/>
      <c r="X741" s="16"/>
      <c r="Y741" s="16"/>
      <c r="Z741" s="16"/>
      <c r="AA741" s="16"/>
      <c r="AB741" s="16"/>
      <c r="AC741" s="16"/>
      <c r="AD741" s="16"/>
    </row>
    <row r="742" spans="2:30" ht="15.75" customHeight="1">
      <c r="B742" s="14"/>
      <c r="C742" s="14"/>
      <c r="D742" s="14"/>
      <c r="E742" s="14"/>
      <c r="F742" s="14"/>
      <c r="G742" s="14"/>
      <c r="H742" s="14"/>
      <c r="I742" s="14"/>
      <c r="J742" s="14"/>
      <c r="K742" s="14"/>
      <c r="L742" s="14"/>
      <c r="M742" s="14"/>
      <c r="N742" s="14"/>
      <c r="O742" s="16"/>
      <c r="P742" s="16"/>
      <c r="Q742" s="16"/>
      <c r="R742" s="16"/>
      <c r="S742" s="16"/>
      <c r="T742" s="16"/>
      <c r="U742" s="16"/>
      <c r="V742" s="16"/>
      <c r="W742" s="16"/>
      <c r="X742" s="16"/>
      <c r="Y742" s="16"/>
      <c r="Z742" s="16"/>
      <c r="AA742" s="16"/>
      <c r="AB742" s="16"/>
      <c r="AC742" s="16"/>
      <c r="AD742" s="16"/>
    </row>
    <row r="743" spans="2:30" ht="15.75" customHeight="1">
      <c r="B743" s="14"/>
      <c r="C743" s="14"/>
      <c r="D743" s="14"/>
      <c r="E743" s="14"/>
      <c r="F743" s="14"/>
      <c r="G743" s="14"/>
      <c r="H743" s="14"/>
      <c r="I743" s="14"/>
      <c r="J743" s="14"/>
      <c r="K743" s="14"/>
      <c r="L743" s="14"/>
      <c r="M743" s="14"/>
      <c r="N743" s="14"/>
      <c r="O743" s="16"/>
      <c r="P743" s="16"/>
      <c r="Q743" s="16"/>
      <c r="R743" s="16"/>
      <c r="S743" s="16"/>
      <c r="T743" s="16"/>
      <c r="U743" s="16"/>
      <c r="V743" s="16"/>
      <c r="W743" s="16"/>
      <c r="X743" s="16"/>
      <c r="Y743" s="16"/>
      <c r="Z743" s="16"/>
      <c r="AA743" s="16"/>
      <c r="AB743" s="16"/>
      <c r="AC743" s="16"/>
      <c r="AD743" s="16"/>
    </row>
    <row r="744" spans="2:30" ht="15.75" customHeight="1">
      <c r="B744" s="14"/>
      <c r="C744" s="14"/>
      <c r="D744" s="14"/>
      <c r="E744" s="14"/>
      <c r="F744" s="14"/>
      <c r="G744" s="14"/>
      <c r="H744" s="14"/>
      <c r="I744" s="14"/>
      <c r="J744" s="14"/>
      <c r="K744" s="14"/>
      <c r="L744" s="14"/>
      <c r="M744" s="14"/>
      <c r="N744" s="14"/>
      <c r="O744" s="16"/>
      <c r="P744" s="16"/>
      <c r="Q744" s="16"/>
      <c r="R744" s="16"/>
      <c r="S744" s="16"/>
      <c r="T744" s="16"/>
      <c r="U744" s="16"/>
      <c r="V744" s="16"/>
      <c r="W744" s="16"/>
      <c r="X744" s="16"/>
      <c r="Y744" s="16"/>
      <c r="Z744" s="16"/>
      <c r="AA744" s="16"/>
      <c r="AB744" s="16"/>
      <c r="AC744" s="16"/>
      <c r="AD744" s="16"/>
    </row>
    <row r="745" spans="2:30" ht="15.75" customHeight="1">
      <c r="B745" s="14"/>
      <c r="C745" s="14"/>
      <c r="D745" s="14"/>
      <c r="E745" s="14"/>
      <c r="F745" s="14"/>
      <c r="G745" s="14"/>
      <c r="H745" s="14"/>
      <c r="I745" s="14"/>
      <c r="J745" s="14"/>
      <c r="K745" s="14"/>
      <c r="L745" s="14"/>
      <c r="M745" s="14"/>
      <c r="N745" s="14"/>
      <c r="O745" s="16"/>
      <c r="P745" s="16"/>
      <c r="Q745" s="16"/>
      <c r="R745" s="16"/>
      <c r="S745" s="16"/>
      <c r="T745" s="16"/>
      <c r="U745" s="16"/>
      <c r="V745" s="16"/>
      <c r="W745" s="16"/>
      <c r="X745" s="16"/>
      <c r="Y745" s="16"/>
      <c r="Z745" s="16"/>
      <c r="AA745" s="16"/>
      <c r="AB745" s="16"/>
      <c r="AC745" s="16"/>
      <c r="AD745" s="16"/>
    </row>
    <row r="746" spans="2:30" ht="15.75" customHeight="1">
      <c r="B746" s="14"/>
      <c r="C746" s="14"/>
      <c r="D746" s="14"/>
      <c r="E746" s="14"/>
      <c r="F746" s="14"/>
      <c r="G746" s="14"/>
      <c r="H746" s="14"/>
      <c r="I746" s="14"/>
      <c r="J746" s="14"/>
      <c r="K746" s="14"/>
      <c r="L746" s="14"/>
      <c r="M746" s="14"/>
      <c r="N746" s="14"/>
      <c r="O746" s="16"/>
      <c r="P746" s="16"/>
      <c r="Q746" s="16"/>
      <c r="R746" s="16"/>
      <c r="S746" s="16"/>
      <c r="T746" s="16"/>
      <c r="U746" s="16"/>
      <c r="V746" s="16"/>
      <c r="W746" s="16"/>
      <c r="X746" s="16"/>
      <c r="Y746" s="16"/>
      <c r="Z746" s="16"/>
      <c r="AA746" s="16"/>
      <c r="AB746" s="16"/>
      <c r="AC746" s="16"/>
      <c r="AD746" s="16"/>
    </row>
    <row r="747" spans="2:30" ht="15.75" customHeight="1">
      <c r="B747" s="14"/>
      <c r="C747" s="14"/>
      <c r="D747" s="14"/>
      <c r="E747" s="14"/>
      <c r="F747" s="14"/>
      <c r="G747" s="14"/>
      <c r="H747" s="14"/>
      <c r="I747" s="14"/>
      <c r="J747" s="14"/>
      <c r="K747" s="14"/>
      <c r="L747" s="14"/>
      <c r="M747" s="14"/>
      <c r="N747" s="14"/>
      <c r="O747" s="16"/>
      <c r="P747" s="16"/>
      <c r="Q747" s="16"/>
      <c r="R747" s="16"/>
      <c r="S747" s="16"/>
      <c r="T747" s="16"/>
      <c r="U747" s="16"/>
      <c r="V747" s="16"/>
      <c r="W747" s="16"/>
      <c r="X747" s="16"/>
      <c r="Y747" s="16"/>
      <c r="Z747" s="16"/>
      <c r="AA747" s="16"/>
      <c r="AB747" s="16"/>
      <c r="AC747" s="16"/>
      <c r="AD747" s="16"/>
    </row>
    <row r="748" spans="2:30" ht="15.75" customHeight="1">
      <c r="B748" s="14"/>
      <c r="C748" s="14"/>
      <c r="D748" s="14"/>
      <c r="E748" s="14"/>
      <c r="F748" s="14"/>
      <c r="G748" s="14"/>
      <c r="H748" s="14"/>
      <c r="I748" s="14"/>
      <c r="J748" s="14"/>
      <c r="K748" s="14"/>
      <c r="L748" s="14"/>
      <c r="M748" s="14"/>
      <c r="N748" s="14"/>
      <c r="O748" s="16"/>
      <c r="P748" s="16"/>
      <c r="Q748" s="16"/>
      <c r="R748" s="16"/>
      <c r="S748" s="16"/>
      <c r="T748" s="16"/>
      <c r="U748" s="16"/>
      <c r="V748" s="16"/>
      <c r="W748" s="16"/>
      <c r="X748" s="16"/>
      <c r="Y748" s="16"/>
      <c r="Z748" s="16"/>
      <c r="AA748" s="16"/>
      <c r="AB748" s="16"/>
      <c r="AC748" s="16"/>
      <c r="AD748" s="16"/>
    </row>
    <row r="749" spans="2:30" ht="15.75" customHeight="1">
      <c r="B749" s="14"/>
      <c r="C749" s="14"/>
      <c r="D749" s="14"/>
      <c r="E749" s="14"/>
      <c r="F749" s="14"/>
      <c r="G749" s="14"/>
      <c r="H749" s="14"/>
      <c r="I749" s="14"/>
      <c r="J749" s="14"/>
      <c r="K749" s="14"/>
      <c r="L749" s="14"/>
      <c r="M749" s="14"/>
      <c r="N749" s="14"/>
      <c r="O749" s="16"/>
      <c r="P749" s="16"/>
      <c r="Q749" s="16"/>
      <c r="R749" s="16"/>
      <c r="S749" s="16"/>
      <c r="T749" s="16"/>
      <c r="U749" s="16"/>
      <c r="V749" s="16"/>
      <c r="W749" s="16"/>
      <c r="X749" s="16"/>
      <c r="Y749" s="16"/>
      <c r="Z749" s="16"/>
      <c r="AA749" s="16"/>
      <c r="AB749" s="16"/>
      <c r="AC749" s="16"/>
      <c r="AD749" s="16"/>
    </row>
    <row r="750" spans="2:30" ht="15.75" customHeight="1">
      <c r="B750" s="14"/>
      <c r="C750" s="14"/>
      <c r="D750" s="14"/>
      <c r="E750" s="14"/>
      <c r="F750" s="14"/>
      <c r="G750" s="14"/>
      <c r="H750" s="14"/>
      <c r="I750" s="14"/>
      <c r="J750" s="14"/>
      <c r="K750" s="14"/>
      <c r="L750" s="14"/>
      <c r="M750" s="14"/>
      <c r="N750" s="14"/>
      <c r="O750" s="16"/>
      <c r="P750" s="16"/>
      <c r="Q750" s="16"/>
      <c r="R750" s="16"/>
      <c r="S750" s="16"/>
      <c r="T750" s="16"/>
      <c r="U750" s="16"/>
      <c r="V750" s="16"/>
      <c r="W750" s="16"/>
      <c r="X750" s="16"/>
      <c r="Y750" s="16"/>
      <c r="Z750" s="16"/>
      <c r="AA750" s="16"/>
      <c r="AB750" s="16"/>
      <c r="AC750" s="16"/>
      <c r="AD750" s="16"/>
    </row>
    <row r="751" spans="2:30" ht="15.75" customHeight="1">
      <c r="B751" s="14"/>
      <c r="C751" s="14"/>
      <c r="D751" s="14"/>
      <c r="E751" s="14"/>
      <c r="F751" s="14"/>
      <c r="G751" s="14"/>
      <c r="H751" s="14"/>
      <c r="I751" s="14"/>
      <c r="J751" s="14"/>
      <c r="K751" s="14"/>
      <c r="L751" s="14"/>
      <c r="M751" s="14"/>
      <c r="N751" s="14"/>
      <c r="O751" s="16"/>
      <c r="P751" s="16"/>
      <c r="Q751" s="16"/>
      <c r="R751" s="16"/>
      <c r="S751" s="16"/>
      <c r="T751" s="16"/>
      <c r="U751" s="16"/>
      <c r="V751" s="16"/>
      <c r="W751" s="16"/>
      <c r="X751" s="16"/>
      <c r="Y751" s="16"/>
      <c r="Z751" s="16"/>
      <c r="AA751" s="16"/>
      <c r="AB751" s="16"/>
      <c r="AC751" s="16"/>
      <c r="AD751" s="16"/>
    </row>
    <row r="752" spans="2:30" ht="15.75" customHeight="1">
      <c r="B752" s="14"/>
      <c r="C752" s="14"/>
      <c r="D752" s="14"/>
      <c r="E752" s="14"/>
      <c r="F752" s="14"/>
      <c r="G752" s="14"/>
      <c r="H752" s="14"/>
      <c r="I752" s="14"/>
      <c r="J752" s="14"/>
      <c r="K752" s="14"/>
      <c r="L752" s="14"/>
      <c r="M752" s="14"/>
      <c r="N752" s="14"/>
      <c r="O752" s="16"/>
      <c r="P752" s="16"/>
      <c r="Q752" s="16"/>
      <c r="R752" s="16"/>
      <c r="S752" s="16"/>
      <c r="T752" s="16"/>
      <c r="U752" s="16"/>
      <c r="V752" s="16"/>
      <c r="W752" s="16"/>
      <c r="X752" s="16"/>
      <c r="Y752" s="16"/>
      <c r="Z752" s="16"/>
      <c r="AA752" s="16"/>
      <c r="AB752" s="16"/>
      <c r="AC752" s="16"/>
      <c r="AD752" s="16"/>
    </row>
    <row r="753" spans="2:30" ht="15.75" customHeight="1">
      <c r="B753" s="14"/>
      <c r="C753" s="14"/>
      <c r="D753" s="14"/>
      <c r="E753" s="14"/>
      <c r="F753" s="14"/>
      <c r="G753" s="14"/>
      <c r="H753" s="14"/>
      <c r="I753" s="14"/>
      <c r="J753" s="14"/>
      <c r="K753" s="14"/>
      <c r="L753" s="14"/>
      <c r="M753" s="14"/>
      <c r="N753" s="14"/>
      <c r="O753" s="16"/>
      <c r="P753" s="16"/>
      <c r="Q753" s="16"/>
      <c r="R753" s="16"/>
      <c r="S753" s="16"/>
      <c r="T753" s="16"/>
      <c r="U753" s="16"/>
      <c r="V753" s="16"/>
      <c r="W753" s="16"/>
      <c r="X753" s="16"/>
      <c r="Y753" s="16"/>
      <c r="Z753" s="16"/>
      <c r="AA753" s="16"/>
      <c r="AB753" s="16"/>
      <c r="AC753" s="16"/>
      <c r="AD753" s="16"/>
    </row>
    <row r="754" spans="2:30" ht="15.75" customHeight="1">
      <c r="B754" s="14"/>
      <c r="C754" s="14"/>
      <c r="D754" s="14"/>
      <c r="E754" s="14"/>
      <c r="F754" s="14"/>
      <c r="G754" s="14"/>
      <c r="H754" s="14"/>
      <c r="I754" s="14"/>
      <c r="J754" s="14"/>
      <c r="K754" s="14"/>
      <c r="L754" s="14"/>
      <c r="M754" s="14"/>
      <c r="N754" s="14"/>
      <c r="O754" s="16"/>
      <c r="P754" s="16"/>
      <c r="Q754" s="16"/>
      <c r="R754" s="16"/>
      <c r="S754" s="16"/>
      <c r="T754" s="16"/>
      <c r="U754" s="16"/>
      <c r="V754" s="16"/>
      <c r="W754" s="16"/>
      <c r="X754" s="16"/>
      <c r="Y754" s="16"/>
      <c r="Z754" s="16"/>
      <c r="AA754" s="16"/>
      <c r="AB754" s="16"/>
      <c r="AC754" s="16"/>
      <c r="AD754" s="16"/>
    </row>
    <row r="755" spans="2:30" ht="15.75" customHeight="1">
      <c r="B755" s="14"/>
      <c r="C755" s="14"/>
      <c r="D755" s="14"/>
      <c r="E755" s="14"/>
      <c r="F755" s="14"/>
      <c r="G755" s="14"/>
      <c r="H755" s="14"/>
      <c r="I755" s="14"/>
      <c r="J755" s="14"/>
      <c r="K755" s="14"/>
      <c r="L755" s="14"/>
      <c r="M755" s="14"/>
      <c r="N755" s="14"/>
      <c r="O755" s="16"/>
      <c r="P755" s="16"/>
      <c r="Q755" s="16"/>
      <c r="R755" s="16"/>
      <c r="S755" s="16"/>
      <c r="T755" s="16"/>
      <c r="U755" s="16"/>
      <c r="V755" s="16"/>
      <c r="W755" s="16"/>
      <c r="X755" s="16"/>
      <c r="Y755" s="16"/>
      <c r="Z755" s="16"/>
      <c r="AA755" s="16"/>
      <c r="AB755" s="16"/>
      <c r="AC755" s="16"/>
      <c r="AD755" s="16"/>
    </row>
    <row r="756" spans="2:30" ht="15.75" customHeight="1">
      <c r="B756" s="14"/>
      <c r="C756" s="14"/>
      <c r="D756" s="14"/>
      <c r="E756" s="14"/>
      <c r="F756" s="14"/>
      <c r="G756" s="14"/>
      <c r="H756" s="14"/>
      <c r="I756" s="14"/>
      <c r="J756" s="14"/>
      <c r="K756" s="14"/>
      <c r="L756" s="14"/>
      <c r="M756" s="14"/>
      <c r="N756" s="14"/>
      <c r="O756" s="16"/>
      <c r="P756" s="16"/>
      <c r="Q756" s="16"/>
      <c r="R756" s="16"/>
      <c r="S756" s="16"/>
      <c r="T756" s="16"/>
      <c r="U756" s="16"/>
      <c r="V756" s="16"/>
      <c r="W756" s="16"/>
      <c r="X756" s="16"/>
      <c r="Y756" s="16"/>
      <c r="Z756" s="16"/>
      <c r="AA756" s="16"/>
      <c r="AB756" s="16"/>
      <c r="AC756" s="16"/>
      <c r="AD756" s="16"/>
    </row>
    <row r="757" spans="2:30" ht="15.75" customHeight="1">
      <c r="B757" s="14"/>
      <c r="C757" s="14"/>
      <c r="D757" s="14"/>
      <c r="E757" s="14"/>
      <c r="F757" s="14"/>
      <c r="G757" s="14"/>
      <c r="H757" s="14"/>
      <c r="I757" s="14"/>
      <c r="J757" s="14"/>
      <c r="K757" s="14"/>
      <c r="L757" s="14"/>
      <c r="M757" s="14"/>
      <c r="N757" s="14"/>
      <c r="O757" s="16"/>
      <c r="P757" s="16"/>
      <c r="Q757" s="16"/>
      <c r="R757" s="16"/>
      <c r="S757" s="16"/>
      <c r="T757" s="16"/>
      <c r="U757" s="16"/>
      <c r="V757" s="16"/>
      <c r="W757" s="16"/>
      <c r="X757" s="16"/>
      <c r="Y757" s="16"/>
      <c r="Z757" s="16"/>
      <c r="AA757" s="16"/>
      <c r="AB757" s="16"/>
      <c r="AC757" s="16"/>
      <c r="AD757" s="16"/>
    </row>
    <row r="758" spans="2:30" ht="15.75" customHeight="1">
      <c r="B758" s="14"/>
      <c r="C758" s="14"/>
      <c r="D758" s="14"/>
      <c r="E758" s="14"/>
      <c r="F758" s="14"/>
      <c r="G758" s="14"/>
      <c r="H758" s="14"/>
      <c r="I758" s="14"/>
      <c r="J758" s="14"/>
      <c r="K758" s="14"/>
      <c r="L758" s="14"/>
      <c r="M758" s="14"/>
      <c r="N758" s="14"/>
      <c r="O758" s="16"/>
      <c r="P758" s="16"/>
      <c r="Q758" s="16"/>
      <c r="R758" s="16"/>
      <c r="S758" s="16"/>
      <c r="T758" s="16"/>
      <c r="U758" s="16"/>
      <c r="V758" s="16"/>
      <c r="W758" s="16"/>
      <c r="X758" s="16"/>
      <c r="Y758" s="16"/>
      <c r="Z758" s="16"/>
      <c r="AA758" s="16"/>
      <c r="AB758" s="16"/>
      <c r="AC758" s="16"/>
      <c r="AD758" s="16"/>
    </row>
    <row r="759" spans="2:30" ht="15.75" customHeight="1">
      <c r="B759" s="14"/>
      <c r="C759" s="14"/>
      <c r="D759" s="14"/>
      <c r="E759" s="14"/>
      <c r="F759" s="14"/>
      <c r="G759" s="14"/>
      <c r="H759" s="14"/>
      <c r="I759" s="14"/>
      <c r="J759" s="14"/>
      <c r="K759" s="14"/>
      <c r="L759" s="14"/>
      <c r="M759" s="14"/>
      <c r="N759" s="14"/>
      <c r="O759" s="16"/>
      <c r="P759" s="16"/>
      <c r="Q759" s="16"/>
      <c r="R759" s="16"/>
      <c r="S759" s="16"/>
      <c r="T759" s="16"/>
      <c r="U759" s="16"/>
      <c r="V759" s="16"/>
      <c r="W759" s="16"/>
      <c r="X759" s="16"/>
      <c r="Y759" s="16"/>
      <c r="Z759" s="16"/>
      <c r="AA759" s="16"/>
      <c r="AB759" s="16"/>
      <c r="AC759" s="16"/>
      <c r="AD759" s="16"/>
    </row>
    <row r="760" spans="2:30" ht="15.75" customHeight="1">
      <c r="B760" s="14"/>
      <c r="C760" s="14"/>
      <c r="D760" s="14"/>
      <c r="E760" s="14"/>
      <c r="F760" s="14"/>
      <c r="G760" s="14"/>
      <c r="H760" s="14"/>
      <c r="I760" s="14"/>
      <c r="J760" s="14"/>
      <c r="K760" s="14"/>
      <c r="L760" s="14"/>
      <c r="M760" s="14"/>
      <c r="N760" s="14"/>
      <c r="O760" s="16"/>
      <c r="P760" s="16"/>
      <c r="Q760" s="16"/>
      <c r="R760" s="16"/>
      <c r="S760" s="16"/>
      <c r="T760" s="16"/>
      <c r="U760" s="16"/>
      <c r="V760" s="16"/>
      <c r="W760" s="16"/>
      <c r="X760" s="16"/>
      <c r="Y760" s="16"/>
      <c r="Z760" s="16"/>
      <c r="AA760" s="16"/>
      <c r="AB760" s="16"/>
      <c r="AC760" s="16"/>
      <c r="AD760" s="16"/>
    </row>
    <row r="761" spans="2:30" ht="15.75" customHeight="1">
      <c r="B761" s="14"/>
      <c r="C761" s="14"/>
      <c r="D761" s="14"/>
      <c r="E761" s="14"/>
      <c r="F761" s="14"/>
      <c r="G761" s="14"/>
      <c r="H761" s="14"/>
      <c r="I761" s="14"/>
      <c r="J761" s="14"/>
      <c r="K761" s="14"/>
      <c r="L761" s="14"/>
      <c r="M761" s="14"/>
      <c r="N761" s="14"/>
      <c r="O761" s="16"/>
      <c r="P761" s="16"/>
      <c r="Q761" s="16"/>
      <c r="R761" s="16"/>
      <c r="S761" s="16"/>
      <c r="T761" s="16"/>
      <c r="U761" s="16"/>
      <c r="V761" s="16"/>
      <c r="W761" s="16"/>
      <c r="X761" s="16"/>
      <c r="Y761" s="16"/>
      <c r="Z761" s="16"/>
      <c r="AA761" s="16"/>
      <c r="AB761" s="16"/>
      <c r="AC761" s="16"/>
      <c r="AD761" s="16"/>
    </row>
    <row r="762" spans="2:30" ht="15.75" customHeight="1">
      <c r="B762" s="14"/>
      <c r="C762" s="14"/>
      <c r="D762" s="14"/>
      <c r="E762" s="14"/>
      <c r="F762" s="14"/>
      <c r="G762" s="14"/>
      <c r="H762" s="14"/>
      <c r="I762" s="14"/>
      <c r="J762" s="14"/>
      <c r="K762" s="14"/>
      <c r="L762" s="14"/>
      <c r="M762" s="14"/>
      <c r="N762" s="14"/>
      <c r="O762" s="16"/>
      <c r="P762" s="16"/>
      <c r="Q762" s="16"/>
      <c r="R762" s="16"/>
      <c r="S762" s="16"/>
      <c r="T762" s="16"/>
      <c r="U762" s="16"/>
      <c r="V762" s="16"/>
      <c r="W762" s="16"/>
      <c r="X762" s="16"/>
      <c r="Y762" s="16"/>
      <c r="Z762" s="16"/>
      <c r="AA762" s="16"/>
      <c r="AB762" s="16"/>
      <c r="AC762" s="16"/>
      <c r="AD762" s="16"/>
    </row>
    <row r="763" spans="2:30" ht="15.75" customHeight="1">
      <c r="B763" s="14"/>
      <c r="C763" s="14"/>
      <c r="D763" s="14"/>
      <c r="E763" s="14"/>
      <c r="F763" s="14"/>
      <c r="G763" s="14"/>
      <c r="H763" s="14"/>
      <c r="I763" s="14"/>
      <c r="J763" s="14"/>
      <c r="K763" s="14"/>
      <c r="L763" s="14"/>
      <c r="M763" s="14"/>
      <c r="N763" s="14"/>
      <c r="O763" s="16"/>
      <c r="P763" s="16"/>
      <c r="Q763" s="16"/>
      <c r="R763" s="16"/>
      <c r="S763" s="16"/>
      <c r="T763" s="16"/>
      <c r="U763" s="16"/>
      <c r="V763" s="16"/>
      <c r="W763" s="16"/>
      <c r="X763" s="16"/>
      <c r="Y763" s="16"/>
      <c r="Z763" s="16"/>
      <c r="AA763" s="16"/>
      <c r="AB763" s="16"/>
      <c r="AC763" s="16"/>
      <c r="AD763" s="16"/>
    </row>
    <row r="764" spans="2:30" ht="15.75" customHeight="1">
      <c r="B764" s="14"/>
      <c r="C764" s="14"/>
      <c r="D764" s="14"/>
      <c r="E764" s="14"/>
      <c r="F764" s="14"/>
      <c r="G764" s="14"/>
      <c r="H764" s="14"/>
      <c r="I764" s="14"/>
      <c r="J764" s="14"/>
      <c r="K764" s="14"/>
      <c r="L764" s="14"/>
      <c r="M764" s="14"/>
      <c r="N764" s="14"/>
      <c r="O764" s="16"/>
      <c r="P764" s="16"/>
      <c r="Q764" s="16"/>
      <c r="R764" s="16"/>
      <c r="S764" s="16"/>
      <c r="T764" s="16"/>
      <c r="U764" s="16"/>
      <c r="V764" s="16"/>
      <c r="W764" s="16"/>
      <c r="X764" s="16"/>
      <c r="Y764" s="16"/>
      <c r="Z764" s="16"/>
      <c r="AA764" s="16"/>
      <c r="AB764" s="16"/>
      <c r="AC764" s="16"/>
      <c r="AD764" s="16"/>
    </row>
    <row r="765" spans="2:30" ht="15.75" customHeight="1">
      <c r="B765" s="14"/>
      <c r="C765" s="14"/>
      <c r="D765" s="14"/>
      <c r="E765" s="14"/>
      <c r="F765" s="14"/>
      <c r="G765" s="14"/>
      <c r="H765" s="14"/>
      <c r="I765" s="14"/>
      <c r="J765" s="14"/>
      <c r="K765" s="14"/>
      <c r="L765" s="14"/>
      <c r="M765" s="14"/>
      <c r="N765" s="14"/>
      <c r="O765" s="16"/>
      <c r="P765" s="16"/>
      <c r="Q765" s="16"/>
      <c r="R765" s="16"/>
      <c r="S765" s="16"/>
      <c r="T765" s="16"/>
      <c r="U765" s="16"/>
      <c r="V765" s="16"/>
      <c r="W765" s="16"/>
      <c r="X765" s="16"/>
      <c r="Y765" s="16"/>
      <c r="Z765" s="16"/>
      <c r="AA765" s="16"/>
      <c r="AB765" s="16"/>
      <c r="AC765" s="16"/>
      <c r="AD765" s="16"/>
    </row>
    <row r="766" spans="2:30" ht="15.75" customHeight="1">
      <c r="B766" s="14"/>
      <c r="C766" s="14"/>
      <c r="D766" s="14"/>
      <c r="E766" s="14"/>
      <c r="F766" s="14"/>
      <c r="G766" s="14"/>
      <c r="H766" s="14"/>
      <c r="I766" s="14"/>
      <c r="J766" s="14"/>
      <c r="K766" s="14"/>
      <c r="L766" s="14"/>
      <c r="M766" s="14"/>
      <c r="N766" s="14"/>
      <c r="O766" s="16"/>
      <c r="P766" s="16"/>
      <c r="Q766" s="16"/>
      <c r="R766" s="16"/>
      <c r="S766" s="16"/>
      <c r="T766" s="16"/>
      <c r="U766" s="16"/>
      <c r="V766" s="16"/>
      <c r="W766" s="16"/>
      <c r="X766" s="16"/>
      <c r="Y766" s="16"/>
      <c r="Z766" s="16"/>
      <c r="AA766" s="16"/>
      <c r="AB766" s="16"/>
      <c r="AC766" s="16"/>
      <c r="AD766" s="16"/>
    </row>
    <row r="767" spans="2:30" ht="15.75" customHeight="1">
      <c r="B767" s="14"/>
      <c r="C767" s="14"/>
      <c r="D767" s="14"/>
      <c r="E767" s="14"/>
      <c r="F767" s="14"/>
      <c r="G767" s="14"/>
      <c r="H767" s="14"/>
      <c r="I767" s="14"/>
      <c r="J767" s="14"/>
      <c r="K767" s="14"/>
      <c r="L767" s="14"/>
      <c r="M767" s="14"/>
      <c r="N767" s="14"/>
      <c r="O767" s="16"/>
      <c r="P767" s="16"/>
      <c r="Q767" s="16"/>
      <c r="R767" s="16"/>
      <c r="S767" s="16"/>
      <c r="T767" s="16"/>
      <c r="U767" s="16"/>
      <c r="V767" s="16"/>
      <c r="W767" s="16"/>
      <c r="X767" s="16"/>
      <c r="Y767" s="16"/>
      <c r="Z767" s="16"/>
      <c r="AA767" s="16"/>
      <c r="AB767" s="16"/>
      <c r="AC767" s="16"/>
      <c r="AD767" s="16"/>
    </row>
    <row r="768" spans="2:30" ht="15.75" customHeight="1">
      <c r="B768" s="14"/>
      <c r="C768" s="14"/>
      <c r="D768" s="14"/>
      <c r="E768" s="14"/>
      <c r="F768" s="14"/>
      <c r="G768" s="14"/>
      <c r="H768" s="14"/>
      <c r="I768" s="14"/>
      <c r="J768" s="14"/>
      <c r="K768" s="14"/>
      <c r="L768" s="14"/>
      <c r="M768" s="14"/>
      <c r="N768" s="14"/>
      <c r="O768" s="16"/>
      <c r="P768" s="16"/>
      <c r="Q768" s="16"/>
      <c r="R768" s="16"/>
      <c r="S768" s="16"/>
      <c r="T768" s="16"/>
      <c r="U768" s="16"/>
      <c r="V768" s="16"/>
      <c r="W768" s="16"/>
      <c r="X768" s="16"/>
      <c r="Y768" s="16"/>
      <c r="Z768" s="16"/>
      <c r="AA768" s="16"/>
      <c r="AB768" s="16"/>
      <c r="AC768" s="16"/>
      <c r="AD768" s="16"/>
    </row>
    <row r="769" spans="2:30" ht="15.75" customHeight="1">
      <c r="B769" s="14"/>
      <c r="C769" s="14"/>
      <c r="D769" s="14"/>
      <c r="E769" s="14"/>
      <c r="F769" s="14"/>
      <c r="G769" s="14"/>
      <c r="H769" s="14"/>
      <c r="I769" s="14"/>
      <c r="J769" s="14"/>
      <c r="K769" s="14"/>
      <c r="L769" s="14"/>
      <c r="M769" s="14"/>
      <c r="N769" s="14"/>
      <c r="O769" s="16"/>
      <c r="P769" s="16"/>
      <c r="Q769" s="16"/>
      <c r="R769" s="16"/>
      <c r="S769" s="16"/>
      <c r="T769" s="16"/>
      <c r="U769" s="16"/>
      <c r="V769" s="16"/>
      <c r="W769" s="16"/>
      <c r="X769" s="16"/>
      <c r="Y769" s="16"/>
      <c r="Z769" s="16"/>
      <c r="AA769" s="16"/>
      <c r="AB769" s="16"/>
      <c r="AC769" s="16"/>
      <c r="AD769" s="16"/>
    </row>
    <row r="770" spans="2:30" ht="15.75" customHeight="1">
      <c r="B770" s="14"/>
      <c r="C770" s="14"/>
      <c r="D770" s="14"/>
      <c r="E770" s="14"/>
      <c r="F770" s="14"/>
      <c r="G770" s="14"/>
      <c r="H770" s="14"/>
      <c r="I770" s="14"/>
      <c r="J770" s="14"/>
      <c r="K770" s="14"/>
      <c r="L770" s="14"/>
      <c r="M770" s="14"/>
      <c r="N770" s="14"/>
      <c r="O770" s="16"/>
      <c r="P770" s="16"/>
      <c r="Q770" s="16"/>
      <c r="R770" s="16"/>
      <c r="S770" s="16"/>
      <c r="T770" s="16"/>
      <c r="U770" s="16"/>
      <c r="V770" s="16"/>
      <c r="W770" s="16"/>
      <c r="X770" s="16"/>
      <c r="Y770" s="16"/>
      <c r="Z770" s="16"/>
      <c r="AA770" s="16"/>
      <c r="AB770" s="16"/>
      <c r="AC770" s="16"/>
      <c r="AD770" s="16"/>
    </row>
    <row r="771" spans="2:30" ht="15.75" customHeight="1">
      <c r="B771" s="14"/>
      <c r="C771" s="14"/>
      <c r="D771" s="14"/>
      <c r="E771" s="14"/>
      <c r="F771" s="14"/>
      <c r="G771" s="14"/>
      <c r="H771" s="14"/>
      <c r="I771" s="14"/>
      <c r="J771" s="14"/>
      <c r="K771" s="14"/>
      <c r="L771" s="14"/>
      <c r="M771" s="14"/>
      <c r="N771" s="14"/>
      <c r="O771" s="16"/>
      <c r="P771" s="16"/>
      <c r="Q771" s="16"/>
      <c r="R771" s="16"/>
      <c r="S771" s="16"/>
      <c r="T771" s="16"/>
      <c r="U771" s="16"/>
      <c r="V771" s="16"/>
      <c r="W771" s="16"/>
      <c r="X771" s="16"/>
      <c r="Y771" s="16"/>
      <c r="Z771" s="16"/>
      <c r="AA771" s="16"/>
      <c r="AB771" s="16"/>
      <c r="AC771" s="16"/>
      <c r="AD771" s="16"/>
    </row>
    <row r="772" spans="2:30" ht="15.75" customHeight="1">
      <c r="B772" s="14"/>
      <c r="C772" s="14"/>
      <c r="D772" s="14"/>
      <c r="E772" s="14"/>
      <c r="F772" s="14"/>
      <c r="G772" s="14"/>
      <c r="H772" s="14"/>
      <c r="I772" s="14"/>
      <c r="J772" s="14"/>
      <c r="K772" s="14"/>
      <c r="L772" s="14"/>
      <c r="M772" s="14"/>
      <c r="N772" s="14"/>
      <c r="O772" s="16"/>
      <c r="P772" s="16"/>
      <c r="Q772" s="16"/>
      <c r="R772" s="16"/>
      <c r="S772" s="16"/>
      <c r="T772" s="16"/>
      <c r="U772" s="16"/>
      <c r="V772" s="16"/>
      <c r="W772" s="16"/>
      <c r="X772" s="16"/>
      <c r="Y772" s="16"/>
      <c r="Z772" s="16"/>
      <c r="AA772" s="16"/>
      <c r="AB772" s="16"/>
      <c r="AC772" s="16"/>
      <c r="AD772" s="16"/>
    </row>
    <row r="773" spans="2:30" ht="15.75" customHeight="1">
      <c r="B773" s="14"/>
      <c r="C773" s="14"/>
      <c r="D773" s="14"/>
      <c r="E773" s="14"/>
      <c r="F773" s="14"/>
      <c r="G773" s="14"/>
      <c r="H773" s="14"/>
      <c r="I773" s="14"/>
      <c r="J773" s="14"/>
      <c r="K773" s="14"/>
      <c r="L773" s="14"/>
      <c r="M773" s="14"/>
      <c r="N773" s="14"/>
      <c r="O773" s="16"/>
      <c r="P773" s="16"/>
      <c r="Q773" s="16"/>
      <c r="R773" s="16"/>
      <c r="S773" s="16"/>
      <c r="T773" s="16"/>
      <c r="U773" s="16"/>
      <c r="V773" s="16"/>
      <c r="W773" s="16"/>
      <c r="X773" s="16"/>
      <c r="Y773" s="16"/>
      <c r="Z773" s="16"/>
      <c r="AA773" s="16"/>
      <c r="AB773" s="16"/>
      <c r="AC773" s="16"/>
      <c r="AD773" s="16"/>
    </row>
    <row r="774" spans="2:30" ht="15.75" customHeight="1">
      <c r="B774" s="14"/>
      <c r="C774" s="14"/>
      <c r="D774" s="14"/>
      <c r="E774" s="14"/>
      <c r="F774" s="14"/>
      <c r="G774" s="14"/>
      <c r="H774" s="14"/>
      <c r="I774" s="14"/>
      <c r="J774" s="14"/>
      <c r="K774" s="14"/>
      <c r="L774" s="14"/>
      <c r="M774" s="14"/>
      <c r="N774" s="14"/>
      <c r="O774" s="16"/>
      <c r="P774" s="16"/>
      <c r="Q774" s="16"/>
      <c r="R774" s="16"/>
      <c r="S774" s="16"/>
      <c r="T774" s="16"/>
      <c r="U774" s="16"/>
      <c r="V774" s="16"/>
      <c r="W774" s="16"/>
      <c r="X774" s="16"/>
      <c r="Y774" s="16"/>
      <c r="Z774" s="16"/>
      <c r="AA774" s="16"/>
      <c r="AB774" s="16"/>
      <c r="AC774" s="16"/>
      <c r="AD774" s="16"/>
    </row>
    <row r="775" spans="2:30" ht="15.75" customHeight="1">
      <c r="B775" s="14"/>
      <c r="C775" s="14"/>
      <c r="D775" s="14"/>
      <c r="E775" s="14"/>
      <c r="F775" s="14"/>
      <c r="G775" s="14"/>
      <c r="H775" s="14"/>
      <c r="I775" s="14"/>
      <c r="J775" s="14"/>
      <c r="K775" s="14"/>
      <c r="L775" s="14"/>
      <c r="M775" s="14"/>
      <c r="N775" s="14"/>
      <c r="O775" s="16"/>
      <c r="P775" s="16"/>
      <c r="Q775" s="16"/>
      <c r="R775" s="16"/>
      <c r="S775" s="16"/>
      <c r="T775" s="16"/>
      <c r="U775" s="16"/>
      <c r="V775" s="16"/>
      <c r="W775" s="16"/>
      <c r="X775" s="16"/>
      <c r="Y775" s="16"/>
      <c r="Z775" s="16"/>
      <c r="AA775" s="16"/>
      <c r="AB775" s="16"/>
      <c r="AC775" s="16"/>
      <c r="AD775" s="16"/>
    </row>
    <row r="776" spans="2:30" ht="15.75" customHeight="1">
      <c r="B776" s="14"/>
      <c r="C776" s="14"/>
      <c r="D776" s="14"/>
      <c r="E776" s="14"/>
      <c r="F776" s="14"/>
      <c r="G776" s="14"/>
      <c r="H776" s="14"/>
      <c r="I776" s="14"/>
      <c r="J776" s="14"/>
      <c r="K776" s="14"/>
      <c r="L776" s="14"/>
      <c r="M776" s="14"/>
      <c r="N776" s="14"/>
      <c r="O776" s="16"/>
      <c r="P776" s="16"/>
      <c r="Q776" s="16"/>
      <c r="R776" s="16"/>
      <c r="S776" s="16"/>
      <c r="T776" s="16"/>
      <c r="U776" s="16"/>
      <c r="V776" s="16"/>
      <c r="W776" s="16"/>
      <c r="X776" s="16"/>
      <c r="Y776" s="16"/>
      <c r="Z776" s="16"/>
      <c r="AA776" s="16"/>
      <c r="AB776" s="16"/>
      <c r="AC776" s="16"/>
      <c r="AD776" s="16"/>
    </row>
    <row r="777" spans="2:30" ht="15.75" customHeight="1">
      <c r="B777" s="14"/>
      <c r="C777" s="14"/>
      <c r="D777" s="14"/>
      <c r="E777" s="14"/>
      <c r="F777" s="14"/>
      <c r="G777" s="14"/>
      <c r="H777" s="14"/>
      <c r="I777" s="14"/>
      <c r="J777" s="14"/>
      <c r="K777" s="14"/>
      <c r="L777" s="14"/>
      <c r="M777" s="14"/>
      <c r="N777" s="14"/>
      <c r="O777" s="16"/>
      <c r="P777" s="16"/>
      <c r="Q777" s="16"/>
      <c r="R777" s="16"/>
      <c r="S777" s="16"/>
      <c r="T777" s="16"/>
      <c r="U777" s="16"/>
      <c r="V777" s="16"/>
      <c r="W777" s="16"/>
      <c r="X777" s="16"/>
      <c r="Y777" s="16"/>
      <c r="Z777" s="16"/>
      <c r="AA777" s="16"/>
      <c r="AB777" s="16"/>
      <c r="AC777" s="16"/>
      <c r="AD777" s="16"/>
    </row>
    <row r="778" spans="2:30" ht="15.75" customHeight="1">
      <c r="B778" s="14"/>
      <c r="C778" s="14"/>
      <c r="D778" s="14"/>
      <c r="E778" s="14"/>
      <c r="F778" s="14"/>
      <c r="G778" s="14"/>
      <c r="H778" s="14"/>
      <c r="I778" s="14"/>
      <c r="J778" s="14"/>
      <c r="K778" s="14"/>
      <c r="L778" s="14"/>
      <c r="M778" s="14"/>
      <c r="N778" s="14"/>
      <c r="O778" s="16"/>
      <c r="P778" s="16"/>
      <c r="Q778" s="16"/>
      <c r="R778" s="16"/>
      <c r="S778" s="16"/>
      <c r="T778" s="16"/>
      <c r="U778" s="16"/>
      <c r="V778" s="16"/>
      <c r="W778" s="16"/>
      <c r="X778" s="16"/>
      <c r="Y778" s="16"/>
      <c r="Z778" s="16"/>
      <c r="AA778" s="16"/>
      <c r="AB778" s="16"/>
      <c r="AC778" s="16"/>
      <c r="AD778" s="16"/>
    </row>
    <row r="779" spans="2:30" ht="15.75" customHeight="1">
      <c r="B779" s="14"/>
      <c r="C779" s="14"/>
      <c r="D779" s="14"/>
      <c r="E779" s="14"/>
      <c r="F779" s="14"/>
      <c r="G779" s="14"/>
      <c r="H779" s="14"/>
      <c r="I779" s="14"/>
      <c r="J779" s="14"/>
      <c r="K779" s="14"/>
      <c r="L779" s="14"/>
      <c r="M779" s="14"/>
      <c r="N779" s="14"/>
      <c r="O779" s="16"/>
      <c r="P779" s="16"/>
      <c r="Q779" s="16"/>
      <c r="R779" s="16"/>
      <c r="S779" s="16"/>
      <c r="T779" s="16"/>
      <c r="U779" s="16"/>
      <c r="V779" s="16"/>
      <c r="W779" s="16"/>
      <c r="X779" s="16"/>
      <c r="Y779" s="16"/>
      <c r="Z779" s="16"/>
      <c r="AA779" s="16"/>
      <c r="AB779" s="16"/>
      <c r="AC779" s="16"/>
      <c r="AD779" s="16"/>
    </row>
    <row r="780" spans="2:30" ht="15.75" customHeight="1">
      <c r="B780" s="14"/>
      <c r="C780" s="14"/>
      <c r="D780" s="14"/>
      <c r="E780" s="14"/>
      <c r="F780" s="14"/>
      <c r="G780" s="14"/>
      <c r="H780" s="14"/>
      <c r="I780" s="14"/>
      <c r="J780" s="14"/>
      <c r="K780" s="14"/>
      <c r="L780" s="14"/>
      <c r="M780" s="14"/>
      <c r="N780" s="14"/>
      <c r="O780" s="16"/>
      <c r="P780" s="16"/>
      <c r="Q780" s="16"/>
      <c r="R780" s="16"/>
      <c r="S780" s="16"/>
      <c r="T780" s="16"/>
      <c r="U780" s="16"/>
      <c r="V780" s="16"/>
      <c r="W780" s="16"/>
      <c r="X780" s="16"/>
      <c r="Y780" s="16"/>
      <c r="Z780" s="16"/>
      <c r="AA780" s="16"/>
      <c r="AB780" s="16"/>
      <c r="AC780" s="16"/>
      <c r="AD780" s="16"/>
    </row>
    <row r="781" spans="2:30" ht="15.75" customHeight="1">
      <c r="B781" s="14"/>
      <c r="C781" s="14"/>
      <c r="D781" s="14"/>
      <c r="E781" s="14"/>
      <c r="F781" s="14"/>
      <c r="G781" s="14"/>
      <c r="H781" s="14"/>
      <c r="I781" s="14"/>
      <c r="J781" s="14"/>
      <c r="K781" s="14"/>
      <c r="L781" s="14"/>
      <c r="M781" s="14"/>
      <c r="N781" s="14"/>
      <c r="O781" s="16"/>
      <c r="P781" s="16"/>
      <c r="Q781" s="16"/>
      <c r="R781" s="16"/>
      <c r="S781" s="16"/>
      <c r="T781" s="16"/>
      <c r="U781" s="16"/>
      <c r="V781" s="16"/>
      <c r="W781" s="16"/>
      <c r="X781" s="16"/>
      <c r="Y781" s="16"/>
      <c r="Z781" s="16"/>
      <c r="AA781" s="16"/>
      <c r="AB781" s="16"/>
      <c r="AC781" s="16"/>
      <c r="AD781" s="16"/>
    </row>
    <row r="782" spans="2:30" ht="15.75" customHeight="1">
      <c r="B782" s="14"/>
      <c r="C782" s="14"/>
      <c r="D782" s="14"/>
      <c r="E782" s="14"/>
      <c r="F782" s="14"/>
      <c r="G782" s="14"/>
      <c r="H782" s="14"/>
      <c r="I782" s="14"/>
      <c r="J782" s="14"/>
      <c r="K782" s="14"/>
      <c r="L782" s="14"/>
      <c r="M782" s="14"/>
      <c r="N782" s="14"/>
      <c r="O782" s="16"/>
      <c r="P782" s="16"/>
      <c r="Q782" s="16"/>
      <c r="R782" s="16"/>
      <c r="S782" s="16"/>
      <c r="T782" s="16"/>
      <c r="U782" s="16"/>
      <c r="V782" s="16"/>
      <c r="W782" s="16"/>
      <c r="X782" s="16"/>
      <c r="Y782" s="16"/>
      <c r="Z782" s="16"/>
      <c r="AA782" s="16"/>
      <c r="AB782" s="16"/>
      <c r="AC782" s="16"/>
      <c r="AD782" s="16"/>
    </row>
    <row r="783" spans="2:30" ht="15.75" customHeight="1">
      <c r="B783" s="14"/>
      <c r="C783" s="14"/>
      <c r="D783" s="14"/>
      <c r="E783" s="14"/>
      <c r="F783" s="14"/>
      <c r="G783" s="14"/>
      <c r="H783" s="14"/>
      <c r="I783" s="14"/>
      <c r="J783" s="14"/>
      <c r="K783" s="14"/>
      <c r="L783" s="14"/>
      <c r="M783" s="14"/>
      <c r="N783" s="14"/>
      <c r="O783" s="16"/>
      <c r="P783" s="16"/>
      <c r="Q783" s="16"/>
      <c r="R783" s="16"/>
      <c r="S783" s="16"/>
      <c r="T783" s="16"/>
      <c r="U783" s="16"/>
      <c r="V783" s="16"/>
      <c r="W783" s="16"/>
      <c r="X783" s="16"/>
      <c r="Y783" s="16"/>
      <c r="Z783" s="16"/>
      <c r="AA783" s="16"/>
      <c r="AB783" s="16"/>
      <c r="AC783" s="16"/>
      <c r="AD783" s="16"/>
    </row>
    <row r="784" spans="2:30" ht="15.75" customHeight="1">
      <c r="B784" s="14"/>
      <c r="C784" s="14"/>
      <c r="D784" s="14"/>
      <c r="E784" s="14"/>
      <c r="F784" s="14"/>
      <c r="G784" s="14"/>
      <c r="H784" s="14"/>
      <c r="I784" s="14"/>
      <c r="J784" s="14"/>
      <c r="K784" s="14"/>
      <c r="L784" s="14"/>
      <c r="M784" s="14"/>
      <c r="N784" s="14"/>
      <c r="O784" s="16"/>
      <c r="P784" s="16"/>
      <c r="Q784" s="16"/>
      <c r="R784" s="16"/>
      <c r="S784" s="16"/>
      <c r="T784" s="16"/>
      <c r="U784" s="16"/>
      <c r="V784" s="16"/>
      <c r="W784" s="16"/>
      <c r="X784" s="16"/>
      <c r="Y784" s="16"/>
      <c r="Z784" s="16"/>
      <c r="AA784" s="16"/>
      <c r="AB784" s="16"/>
      <c r="AC784" s="16"/>
      <c r="AD784" s="16"/>
    </row>
    <row r="785" spans="2:30" ht="15.75" customHeight="1">
      <c r="B785" s="14"/>
      <c r="C785" s="14"/>
      <c r="D785" s="14"/>
      <c r="E785" s="14"/>
      <c r="F785" s="14"/>
      <c r="G785" s="14"/>
      <c r="H785" s="14"/>
      <c r="I785" s="14"/>
      <c r="J785" s="14"/>
      <c r="K785" s="14"/>
      <c r="L785" s="14"/>
      <c r="M785" s="14"/>
      <c r="N785" s="14"/>
      <c r="O785" s="16"/>
      <c r="P785" s="16"/>
      <c r="Q785" s="16"/>
      <c r="R785" s="16"/>
      <c r="S785" s="16"/>
      <c r="T785" s="16"/>
      <c r="U785" s="16"/>
      <c r="V785" s="16"/>
      <c r="W785" s="16"/>
      <c r="X785" s="16"/>
      <c r="Y785" s="16"/>
      <c r="Z785" s="16"/>
      <c r="AA785" s="16"/>
      <c r="AB785" s="16"/>
      <c r="AC785" s="16"/>
      <c r="AD785" s="16"/>
    </row>
    <row r="786" spans="2:30" ht="15.75" customHeight="1">
      <c r="B786" s="14"/>
      <c r="C786" s="14"/>
      <c r="D786" s="14"/>
      <c r="E786" s="14"/>
      <c r="F786" s="14"/>
      <c r="G786" s="14"/>
      <c r="H786" s="14"/>
      <c r="I786" s="14"/>
      <c r="J786" s="14"/>
      <c r="K786" s="14"/>
      <c r="L786" s="14"/>
      <c r="M786" s="14"/>
      <c r="N786" s="14"/>
      <c r="O786" s="16"/>
      <c r="P786" s="16"/>
      <c r="Q786" s="16"/>
      <c r="R786" s="16"/>
      <c r="S786" s="16"/>
      <c r="T786" s="16"/>
      <c r="U786" s="16"/>
      <c r="V786" s="16"/>
      <c r="W786" s="16"/>
      <c r="X786" s="16"/>
      <c r="Y786" s="16"/>
      <c r="Z786" s="16"/>
      <c r="AA786" s="16"/>
      <c r="AB786" s="16"/>
      <c r="AC786" s="16"/>
      <c r="AD786" s="16"/>
    </row>
    <row r="787" spans="2:30" ht="15.75" customHeight="1">
      <c r="B787" s="14"/>
      <c r="C787" s="14"/>
      <c r="D787" s="14"/>
      <c r="E787" s="14"/>
      <c r="F787" s="14"/>
      <c r="G787" s="14"/>
      <c r="H787" s="14"/>
      <c r="I787" s="14"/>
      <c r="J787" s="14"/>
      <c r="K787" s="14"/>
      <c r="L787" s="14"/>
      <c r="M787" s="14"/>
      <c r="N787" s="14"/>
      <c r="O787" s="16"/>
      <c r="P787" s="16"/>
      <c r="Q787" s="16"/>
      <c r="R787" s="16"/>
      <c r="S787" s="16"/>
      <c r="T787" s="16"/>
      <c r="U787" s="16"/>
      <c r="V787" s="16"/>
      <c r="W787" s="16"/>
      <c r="X787" s="16"/>
      <c r="Y787" s="16"/>
      <c r="Z787" s="16"/>
      <c r="AA787" s="16"/>
      <c r="AB787" s="16"/>
      <c r="AC787" s="16"/>
      <c r="AD787" s="16"/>
    </row>
    <row r="788" spans="2:30" ht="15.75" customHeight="1">
      <c r="B788" s="14"/>
      <c r="C788" s="14"/>
      <c r="D788" s="14"/>
      <c r="E788" s="14"/>
      <c r="F788" s="14"/>
      <c r="G788" s="14"/>
      <c r="H788" s="14"/>
      <c r="I788" s="14"/>
      <c r="J788" s="14"/>
      <c r="K788" s="14"/>
      <c r="L788" s="14"/>
      <c r="M788" s="14"/>
      <c r="N788" s="14"/>
      <c r="O788" s="16"/>
      <c r="P788" s="16"/>
      <c r="Q788" s="16"/>
      <c r="R788" s="16"/>
      <c r="S788" s="16"/>
      <c r="T788" s="16"/>
      <c r="U788" s="16"/>
      <c r="V788" s="16"/>
      <c r="W788" s="16"/>
      <c r="X788" s="16"/>
      <c r="Y788" s="16"/>
      <c r="Z788" s="16"/>
      <c r="AA788" s="16"/>
      <c r="AB788" s="16"/>
      <c r="AC788" s="16"/>
      <c r="AD788" s="16"/>
    </row>
    <row r="789" spans="2:30" ht="15.75" customHeight="1">
      <c r="B789" s="14"/>
      <c r="C789" s="14"/>
      <c r="D789" s="14"/>
      <c r="E789" s="14"/>
      <c r="F789" s="14"/>
      <c r="G789" s="14"/>
      <c r="H789" s="14"/>
      <c r="I789" s="14"/>
      <c r="J789" s="14"/>
      <c r="K789" s="14"/>
      <c r="L789" s="14"/>
      <c r="M789" s="14"/>
      <c r="N789" s="14"/>
      <c r="O789" s="16"/>
      <c r="P789" s="16"/>
      <c r="Q789" s="16"/>
      <c r="R789" s="16"/>
      <c r="S789" s="16"/>
      <c r="T789" s="16"/>
      <c r="U789" s="16"/>
      <c r="V789" s="16"/>
      <c r="W789" s="16"/>
      <c r="X789" s="16"/>
      <c r="Y789" s="16"/>
      <c r="Z789" s="16"/>
      <c r="AA789" s="16"/>
      <c r="AB789" s="16"/>
      <c r="AC789" s="16"/>
      <c r="AD789" s="16"/>
    </row>
    <row r="790" spans="2:30" ht="15.75" customHeight="1">
      <c r="B790" s="14"/>
      <c r="C790" s="14"/>
      <c r="D790" s="14"/>
      <c r="E790" s="14"/>
      <c r="F790" s="14"/>
      <c r="G790" s="14"/>
      <c r="H790" s="14"/>
      <c r="I790" s="14"/>
      <c r="J790" s="14"/>
      <c r="K790" s="14"/>
      <c r="L790" s="14"/>
      <c r="M790" s="14"/>
      <c r="N790" s="14"/>
      <c r="O790" s="16"/>
      <c r="P790" s="16"/>
      <c r="Q790" s="16"/>
      <c r="R790" s="16"/>
      <c r="S790" s="16"/>
      <c r="T790" s="16"/>
      <c r="U790" s="16"/>
      <c r="V790" s="16"/>
      <c r="W790" s="16"/>
      <c r="X790" s="16"/>
      <c r="Y790" s="16"/>
      <c r="Z790" s="16"/>
      <c r="AA790" s="16"/>
      <c r="AB790" s="16"/>
      <c r="AC790" s="16"/>
      <c r="AD790" s="16"/>
    </row>
    <row r="791" spans="2:30" ht="15.75" customHeight="1">
      <c r="B791" s="14"/>
      <c r="C791" s="14"/>
      <c r="D791" s="14"/>
      <c r="E791" s="14"/>
      <c r="F791" s="14"/>
      <c r="G791" s="14"/>
      <c r="H791" s="14"/>
      <c r="I791" s="14"/>
      <c r="J791" s="14"/>
      <c r="K791" s="14"/>
      <c r="L791" s="14"/>
      <c r="M791" s="14"/>
      <c r="N791" s="14"/>
      <c r="O791" s="16"/>
      <c r="P791" s="16"/>
      <c r="Q791" s="16"/>
      <c r="R791" s="16"/>
      <c r="S791" s="16"/>
      <c r="T791" s="16"/>
      <c r="U791" s="16"/>
      <c r="V791" s="16"/>
      <c r="W791" s="16"/>
      <c r="X791" s="16"/>
      <c r="Y791" s="16"/>
      <c r="Z791" s="16"/>
      <c r="AA791" s="16"/>
      <c r="AB791" s="16"/>
      <c r="AC791" s="16"/>
      <c r="AD791" s="16"/>
    </row>
    <row r="792" spans="2:30" ht="15.75" customHeight="1">
      <c r="B792" s="14"/>
      <c r="C792" s="14"/>
      <c r="D792" s="14"/>
      <c r="E792" s="14"/>
      <c r="F792" s="14"/>
      <c r="G792" s="14"/>
      <c r="H792" s="14"/>
      <c r="I792" s="14"/>
      <c r="J792" s="14"/>
      <c r="K792" s="14"/>
      <c r="L792" s="14"/>
      <c r="M792" s="14"/>
      <c r="N792" s="14"/>
      <c r="O792" s="16"/>
      <c r="P792" s="16"/>
      <c r="Q792" s="16"/>
      <c r="R792" s="16"/>
      <c r="S792" s="16"/>
      <c r="T792" s="16"/>
      <c r="U792" s="16"/>
      <c r="V792" s="16"/>
      <c r="W792" s="16"/>
      <c r="X792" s="16"/>
      <c r="Y792" s="16"/>
      <c r="Z792" s="16"/>
      <c r="AA792" s="16"/>
      <c r="AB792" s="16"/>
      <c r="AC792" s="16"/>
      <c r="AD792" s="16"/>
    </row>
    <row r="793" spans="2:30" ht="15.75" customHeight="1">
      <c r="B793" s="14"/>
      <c r="C793" s="14"/>
      <c r="D793" s="14"/>
      <c r="E793" s="14"/>
      <c r="F793" s="14"/>
      <c r="G793" s="14"/>
      <c r="H793" s="14"/>
      <c r="I793" s="14"/>
      <c r="J793" s="14"/>
      <c r="K793" s="14"/>
      <c r="L793" s="14"/>
      <c r="M793" s="14"/>
      <c r="N793" s="14"/>
      <c r="O793" s="16"/>
      <c r="P793" s="16"/>
      <c r="Q793" s="16"/>
      <c r="R793" s="16"/>
      <c r="S793" s="16"/>
      <c r="T793" s="16"/>
      <c r="U793" s="16"/>
      <c r="V793" s="16"/>
      <c r="W793" s="16"/>
      <c r="X793" s="16"/>
      <c r="Y793" s="16"/>
      <c r="Z793" s="16"/>
      <c r="AA793" s="16"/>
      <c r="AB793" s="16"/>
      <c r="AC793" s="16"/>
      <c r="AD793" s="16"/>
    </row>
    <row r="794" spans="2:30" ht="15.75" customHeight="1">
      <c r="B794" s="14"/>
      <c r="C794" s="14"/>
      <c r="D794" s="14"/>
      <c r="E794" s="14"/>
      <c r="F794" s="14"/>
      <c r="G794" s="14"/>
      <c r="H794" s="14"/>
      <c r="I794" s="14"/>
      <c r="J794" s="14"/>
      <c r="K794" s="14"/>
      <c r="L794" s="14"/>
      <c r="M794" s="14"/>
      <c r="N794" s="14"/>
      <c r="O794" s="16"/>
      <c r="P794" s="16"/>
      <c r="Q794" s="16"/>
      <c r="R794" s="16"/>
      <c r="S794" s="16"/>
      <c r="T794" s="16"/>
      <c r="U794" s="16"/>
      <c r="V794" s="16"/>
      <c r="W794" s="16"/>
      <c r="X794" s="16"/>
      <c r="Y794" s="16"/>
      <c r="Z794" s="16"/>
      <c r="AA794" s="16"/>
      <c r="AB794" s="16"/>
      <c r="AC794" s="16"/>
      <c r="AD794" s="16"/>
    </row>
    <row r="795" spans="2:30" ht="15.75" customHeight="1">
      <c r="B795" s="14"/>
      <c r="C795" s="14"/>
      <c r="D795" s="14"/>
      <c r="E795" s="14"/>
      <c r="F795" s="14"/>
      <c r="G795" s="14"/>
      <c r="H795" s="14"/>
      <c r="I795" s="14"/>
      <c r="J795" s="14"/>
      <c r="K795" s="14"/>
      <c r="L795" s="14"/>
      <c r="M795" s="14"/>
      <c r="N795" s="14"/>
      <c r="O795" s="16"/>
      <c r="P795" s="16"/>
      <c r="Q795" s="16"/>
      <c r="R795" s="16"/>
      <c r="S795" s="16"/>
      <c r="T795" s="16"/>
      <c r="U795" s="16"/>
      <c r="V795" s="16"/>
      <c r="W795" s="16"/>
      <c r="X795" s="16"/>
      <c r="Y795" s="16"/>
      <c r="Z795" s="16"/>
      <c r="AA795" s="16"/>
      <c r="AB795" s="16"/>
      <c r="AC795" s="16"/>
      <c r="AD795" s="16"/>
    </row>
    <row r="796" spans="2:30" ht="15.75" customHeight="1">
      <c r="B796" s="14"/>
      <c r="C796" s="14"/>
      <c r="D796" s="14"/>
      <c r="E796" s="14"/>
      <c r="F796" s="14"/>
      <c r="G796" s="14"/>
      <c r="H796" s="14"/>
      <c r="I796" s="14"/>
      <c r="J796" s="14"/>
      <c r="K796" s="14"/>
      <c r="L796" s="14"/>
      <c r="M796" s="14"/>
      <c r="N796" s="14"/>
      <c r="O796" s="16"/>
      <c r="P796" s="16"/>
      <c r="Q796" s="16"/>
      <c r="R796" s="16"/>
      <c r="S796" s="16"/>
      <c r="T796" s="16"/>
      <c r="U796" s="16"/>
      <c r="V796" s="16"/>
      <c r="W796" s="16"/>
      <c r="X796" s="16"/>
      <c r="Y796" s="16"/>
      <c r="Z796" s="16"/>
      <c r="AA796" s="16"/>
      <c r="AB796" s="16"/>
      <c r="AC796" s="16"/>
      <c r="AD796" s="16"/>
    </row>
    <row r="797" spans="2:30" ht="15.75" customHeight="1">
      <c r="B797" s="14"/>
      <c r="C797" s="14"/>
      <c r="D797" s="14"/>
      <c r="E797" s="14"/>
      <c r="F797" s="14"/>
      <c r="G797" s="14"/>
      <c r="H797" s="14"/>
      <c r="I797" s="14"/>
      <c r="J797" s="14"/>
      <c r="K797" s="14"/>
      <c r="L797" s="14"/>
      <c r="M797" s="14"/>
      <c r="N797" s="14"/>
      <c r="O797" s="16"/>
      <c r="P797" s="16"/>
      <c r="Q797" s="16"/>
      <c r="R797" s="16"/>
      <c r="S797" s="16"/>
      <c r="T797" s="16"/>
      <c r="U797" s="16"/>
      <c r="V797" s="16"/>
      <c r="W797" s="16"/>
      <c r="X797" s="16"/>
      <c r="Y797" s="16"/>
      <c r="Z797" s="16"/>
      <c r="AA797" s="16"/>
      <c r="AB797" s="16"/>
      <c r="AC797" s="16"/>
      <c r="AD797" s="16"/>
    </row>
    <row r="798" spans="2:30" ht="15.75" customHeight="1">
      <c r="B798" s="14"/>
      <c r="C798" s="14"/>
      <c r="D798" s="14"/>
      <c r="E798" s="14"/>
      <c r="F798" s="14"/>
      <c r="G798" s="14"/>
      <c r="H798" s="14"/>
      <c r="I798" s="14"/>
      <c r="J798" s="14"/>
      <c r="K798" s="14"/>
      <c r="L798" s="14"/>
      <c r="M798" s="14"/>
      <c r="N798" s="14"/>
      <c r="O798" s="16"/>
      <c r="P798" s="16"/>
      <c r="Q798" s="16"/>
      <c r="R798" s="16"/>
      <c r="S798" s="16"/>
      <c r="T798" s="16"/>
      <c r="U798" s="16"/>
      <c r="V798" s="16"/>
      <c r="W798" s="16"/>
      <c r="X798" s="16"/>
      <c r="Y798" s="16"/>
      <c r="Z798" s="16"/>
      <c r="AA798" s="16"/>
      <c r="AB798" s="16"/>
      <c r="AC798" s="16"/>
      <c r="AD798" s="16"/>
    </row>
    <row r="799" spans="2:30" ht="15.75" customHeight="1">
      <c r="B799" s="14"/>
      <c r="C799" s="14"/>
      <c r="D799" s="14"/>
      <c r="E799" s="14"/>
      <c r="F799" s="14"/>
      <c r="G799" s="14"/>
      <c r="H799" s="14"/>
      <c r="I799" s="14"/>
      <c r="J799" s="14"/>
      <c r="K799" s="14"/>
      <c r="L799" s="14"/>
      <c r="M799" s="14"/>
      <c r="N799" s="14"/>
      <c r="O799" s="16"/>
      <c r="P799" s="16"/>
      <c r="Q799" s="16"/>
      <c r="R799" s="16"/>
      <c r="S799" s="16"/>
      <c r="T799" s="16"/>
      <c r="U799" s="16"/>
      <c r="V799" s="16"/>
      <c r="W799" s="16"/>
      <c r="X799" s="16"/>
      <c r="Y799" s="16"/>
      <c r="Z799" s="16"/>
      <c r="AA799" s="16"/>
      <c r="AB799" s="16"/>
      <c r="AC799" s="16"/>
      <c r="AD799" s="16"/>
    </row>
    <row r="800" spans="2:30" ht="15.75" customHeight="1">
      <c r="B800" s="14"/>
      <c r="C800" s="14"/>
      <c r="D800" s="14"/>
      <c r="E800" s="14"/>
      <c r="F800" s="14"/>
      <c r="G800" s="14"/>
      <c r="H800" s="14"/>
      <c r="I800" s="14"/>
      <c r="J800" s="14"/>
      <c r="K800" s="14"/>
      <c r="L800" s="14"/>
      <c r="M800" s="14"/>
      <c r="N800" s="14"/>
      <c r="O800" s="16"/>
      <c r="P800" s="16"/>
      <c r="Q800" s="16"/>
      <c r="R800" s="16"/>
      <c r="S800" s="16"/>
      <c r="T800" s="16"/>
      <c r="U800" s="16"/>
      <c r="V800" s="16"/>
      <c r="W800" s="16"/>
      <c r="X800" s="16"/>
      <c r="Y800" s="16"/>
      <c r="Z800" s="16"/>
      <c r="AA800" s="16"/>
      <c r="AB800" s="16"/>
      <c r="AC800" s="16"/>
      <c r="AD800" s="16"/>
    </row>
    <row r="801" spans="2:30" ht="15.75" customHeight="1">
      <c r="B801" s="14"/>
      <c r="C801" s="14"/>
      <c r="D801" s="14"/>
      <c r="E801" s="14"/>
      <c r="F801" s="14"/>
      <c r="G801" s="14"/>
      <c r="H801" s="14"/>
      <c r="I801" s="14"/>
      <c r="J801" s="14"/>
      <c r="K801" s="14"/>
      <c r="L801" s="14"/>
      <c r="M801" s="14"/>
      <c r="N801" s="14"/>
      <c r="O801" s="16"/>
      <c r="P801" s="16"/>
      <c r="Q801" s="16"/>
      <c r="R801" s="16"/>
      <c r="S801" s="16"/>
      <c r="T801" s="16"/>
      <c r="U801" s="16"/>
      <c r="V801" s="16"/>
      <c r="W801" s="16"/>
      <c r="X801" s="16"/>
      <c r="Y801" s="16"/>
      <c r="Z801" s="16"/>
      <c r="AA801" s="16"/>
      <c r="AB801" s="16"/>
      <c r="AC801" s="16"/>
      <c r="AD801" s="16"/>
    </row>
    <row r="802" spans="2:30" ht="15.75" customHeight="1">
      <c r="B802" s="14"/>
      <c r="C802" s="14"/>
      <c r="D802" s="14"/>
      <c r="E802" s="14"/>
      <c r="F802" s="14"/>
      <c r="G802" s="14"/>
      <c r="H802" s="14"/>
      <c r="I802" s="14"/>
      <c r="J802" s="14"/>
      <c r="K802" s="14"/>
      <c r="L802" s="14"/>
      <c r="M802" s="14"/>
      <c r="N802" s="14"/>
      <c r="O802" s="16"/>
      <c r="P802" s="16"/>
      <c r="Q802" s="16"/>
      <c r="R802" s="16"/>
      <c r="S802" s="16"/>
      <c r="T802" s="16"/>
      <c r="U802" s="16"/>
      <c r="V802" s="16"/>
      <c r="W802" s="16"/>
      <c r="X802" s="16"/>
      <c r="Y802" s="16"/>
      <c r="Z802" s="16"/>
      <c r="AA802" s="16"/>
      <c r="AB802" s="16"/>
      <c r="AC802" s="16"/>
      <c r="AD802" s="16"/>
    </row>
    <row r="803" spans="2:30" ht="15.75" customHeight="1">
      <c r="B803" s="14"/>
      <c r="C803" s="14"/>
      <c r="D803" s="14"/>
      <c r="E803" s="14"/>
      <c r="F803" s="14"/>
      <c r="G803" s="14"/>
      <c r="H803" s="14"/>
      <c r="I803" s="14"/>
      <c r="J803" s="14"/>
      <c r="K803" s="14"/>
      <c r="L803" s="14"/>
      <c r="M803" s="14"/>
      <c r="N803" s="14"/>
      <c r="O803" s="16"/>
      <c r="P803" s="16"/>
      <c r="Q803" s="16"/>
      <c r="R803" s="16"/>
      <c r="S803" s="16"/>
      <c r="T803" s="16"/>
      <c r="U803" s="16"/>
      <c r="V803" s="16"/>
      <c r="W803" s="16"/>
      <c r="X803" s="16"/>
      <c r="Y803" s="16"/>
      <c r="Z803" s="16"/>
      <c r="AA803" s="16"/>
      <c r="AB803" s="16"/>
      <c r="AC803" s="16"/>
      <c r="AD803" s="16"/>
    </row>
    <row r="804" spans="2:30" ht="15.75" customHeight="1">
      <c r="B804" s="14"/>
      <c r="C804" s="14"/>
      <c r="D804" s="14"/>
      <c r="E804" s="14"/>
      <c r="F804" s="14"/>
      <c r="G804" s="14"/>
      <c r="H804" s="14"/>
      <c r="I804" s="14"/>
      <c r="J804" s="14"/>
      <c r="K804" s="14"/>
      <c r="L804" s="14"/>
      <c r="M804" s="14"/>
      <c r="N804" s="14"/>
      <c r="O804" s="16"/>
      <c r="P804" s="16"/>
      <c r="Q804" s="16"/>
      <c r="R804" s="16"/>
      <c r="S804" s="16"/>
      <c r="T804" s="16"/>
      <c r="U804" s="16"/>
      <c r="V804" s="16"/>
      <c r="W804" s="16"/>
      <c r="X804" s="16"/>
      <c r="Y804" s="16"/>
      <c r="Z804" s="16"/>
      <c r="AA804" s="16"/>
      <c r="AB804" s="16"/>
      <c r="AC804" s="16"/>
      <c r="AD804" s="16"/>
    </row>
    <row r="805" spans="2:30" ht="15.75" customHeight="1">
      <c r="B805" s="14"/>
      <c r="C805" s="14"/>
      <c r="D805" s="14"/>
      <c r="E805" s="14"/>
      <c r="F805" s="14"/>
      <c r="G805" s="14"/>
      <c r="H805" s="14"/>
      <c r="I805" s="14"/>
      <c r="J805" s="14"/>
      <c r="K805" s="14"/>
      <c r="L805" s="14"/>
      <c r="M805" s="14"/>
      <c r="N805" s="14"/>
      <c r="O805" s="16"/>
      <c r="P805" s="16"/>
      <c r="Q805" s="16"/>
      <c r="R805" s="16"/>
      <c r="S805" s="16"/>
      <c r="T805" s="16"/>
      <c r="U805" s="16"/>
      <c r="V805" s="16"/>
      <c r="W805" s="16"/>
      <c r="X805" s="16"/>
      <c r="Y805" s="16"/>
      <c r="Z805" s="16"/>
      <c r="AA805" s="16"/>
      <c r="AB805" s="16"/>
      <c r="AC805" s="16"/>
      <c r="AD805" s="16"/>
    </row>
    <row r="806" spans="2:30" ht="15.75" customHeight="1">
      <c r="B806" s="14"/>
      <c r="C806" s="14"/>
      <c r="D806" s="14"/>
      <c r="E806" s="14"/>
      <c r="F806" s="14"/>
      <c r="G806" s="14"/>
      <c r="H806" s="14"/>
      <c r="I806" s="14"/>
      <c r="J806" s="14"/>
      <c r="K806" s="14"/>
      <c r="L806" s="14"/>
      <c r="M806" s="14"/>
      <c r="N806" s="14"/>
      <c r="O806" s="16"/>
      <c r="P806" s="16"/>
      <c r="Q806" s="16"/>
      <c r="R806" s="16"/>
      <c r="S806" s="16"/>
      <c r="T806" s="16"/>
      <c r="U806" s="16"/>
      <c r="V806" s="16"/>
      <c r="W806" s="16"/>
      <c r="X806" s="16"/>
      <c r="Y806" s="16"/>
      <c r="Z806" s="16"/>
      <c r="AA806" s="16"/>
      <c r="AB806" s="16"/>
      <c r="AC806" s="16"/>
      <c r="AD806" s="16"/>
    </row>
    <row r="807" spans="2:30" ht="15.75" customHeight="1">
      <c r="B807" s="14"/>
      <c r="C807" s="14"/>
      <c r="D807" s="14"/>
      <c r="E807" s="14"/>
      <c r="F807" s="14"/>
      <c r="G807" s="14"/>
      <c r="H807" s="14"/>
      <c r="I807" s="14"/>
      <c r="J807" s="14"/>
      <c r="K807" s="14"/>
      <c r="L807" s="14"/>
      <c r="M807" s="14"/>
      <c r="N807" s="14"/>
      <c r="O807" s="16"/>
      <c r="P807" s="16"/>
      <c r="Q807" s="16"/>
      <c r="R807" s="16"/>
      <c r="S807" s="16"/>
      <c r="T807" s="16"/>
      <c r="U807" s="16"/>
      <c r="V807" s="16"/>
      <c r="W807" s="16"/>
      <c r="X807" s="16"/>
      <c r="Y807" s="16"/>
      <c r="Z807" s="16"/>
      <c r="AA807" s="16"/>
      <c r="AB807" s="16"/>
      <c r="AC807" s="16"/>
      <c r="AD807" s="16"/>
    </row>
    <row r="808" spans="2:30" ht="15.75" customHeight="1">
      <c r="B808" s="14"/>
      <c r="C808" s="14"/>
      <c r="D808" s="14"/>
      <c r="E808" s="14"/>
      <c r="F808" s="14"/>
      <c r="G808" s="14"/>
      <c r="H808" s="14"/>
      <c r="I808" s="14"/>
      <c r="J808" s="14"/>
      <c r="K808" s="14"/>
      <c r="L808" s="14"/>
      <c r="M808" s="14"/>
      <c r="N808" s="14"/>
      <c r="O808" s="16"/>
      <c r="P808" s="16"/>
      <c r="Q808" s="16"/>
      <c r="R808" s="16"/>
      <c r="S808" s="16"/>
      <c r="T808" s="16"/>
      <c r="U808" s="16"/>
      <c r="V808" s="16"/>
      <c r="W808" s="16"/>
      <c r="X808" s="16"/>
      <c r="Y808" s="16"/>
      <c r="Z808" s="16"/>
      <c r="AA808" s="16"/>
      <c r="AB808" s="16"/>
      <c r="AC808" s="16"/>
      <c r="AD808" s="16"/>
    </row>
    <row r="809" spans="2:30" ht="15.75" customHeight="1">
      <c r="B809" s="14"/>
      <c r="C809" s="14"/>
      <c r="D809" s="14"/>
      <c r="E809" s="14"/>
      <c r="F809" s="14"/>
      <c r="G809" s="14"/>
      <c r="H809" s="14"/>
      <c r="I809" s="14"/>
      <c r="J809" s="14"/>
      <c r="K809" s="14"/>
      <c r="L809" s="14"/>
      <c r="M809" s="14"/>
      <c r="N809" s="14"/>
      <c r="O809" s="16"/>
      <c r="P809" s="16"/>
      <c r="Q809" s="16"/>
      <c r="R809" s="16"/>
      <c r="S809" s="16"/>
      <c r="T809" s="16"/>
      <c r="U809" s="16"/>
      <c r="V809" s="16"/>
      <c r="W809" s="16"/>
      <c r="X809" s="16"/>
      <c r="Y809" s="16"/>
      <c r="Z809" s="16"/>
      <c r="AA809" s="16"/>
      <c r="AB809" s="16"/>
      <c r="AC809" s="16"/>
      <c r="AD809" s="16"/>
    </row>
    <row r="810" spans="2:30" ht="15.75" customHeight="1">
      <c r="B810" s="14"/>
      <c r="C810" s="14"/>
      <c r="D810" s="14"/>
      <c r="E810" s="14"/>
      <c r="F810" s="14"/>
      <c r="G810" s="14"/>
      <c r="H810" s="14"/>
      <c r="I810" s="14"/>
      <c r="J810" s="14"/>
      <c r="K810" s="14"/>
      <c r="L810" s="14"/>
      <c r="M810" s="14"/>
      <c r="N810" s="14"/>
      <c r="O810" s="16"/>
      <c r="P810" s="16"/>
      <c r="Q810" s="16"/>
      <c r="R810" s="16"/>
      <c r="S810" s="16"/>
      <c r="T810" s="16"/>
      <c r="U810" s="16"/>
      <c r="V810" s="16"/>
      <c r="W810" s="16"/>
      <c r="X810" s="16"/>
      <c r="Y810" s="16"/>
      <c r="Z810" s="16"/>
      <c r="AA810" s="16"/>
      <c r="AB810" s="16"/>
      <c r="AC810" s="16"/>
      <c r="AD810" s="16"/>
    </row>
    <row r="811" spans="2:30" ht="15.75" customHeight="1">
      <c r="B811" s="14"/>
      <c r="C811" s="14"/>
      <c r="D811" s="14"/>
      <c r="E811" s="14"/>
      <c r="F811" s="14"/>
      <c r="G811" s="14"/>
      <c r="H811" s="14"/>
      <c r="I811" s="14"/>
      <c r="J811" s="14"/>
      <c r="K811" s="14"/>
      <c r="L811" s="14"/>
      <c r="M811" s="14"/>
      <c r="N811" s="14"/>
      <c r="O811" s="16"/>
      <c r="P811" s="16"/>
      <c r="Q811" s="16"/>
      <c r="R811" s="16"/>
      <c r="S811" s="16"/>
      <c r="T811" s="16"/>
      <c r="U811" s="16"/>
      <c r="V811" s="16"/>
      <c r="W811" s="16"/>
      <c r="X811" s="16"/>
      <c r="Y811" s="16"/>
      <c r="Z811" s="16"/>
      <c r="AA811" s="16"/>
      <c r="AB811" s="16"/>
      <c r="AC811" s="16"/>
      <c r="AD811" s="16"/>
    </row>
    <row r="812" spans="2:30" ht="15.75" customHeight="1">
      <c r="B812" s="14"/>
      <c r="C812" s="14"/>
      <c r="D812" s="14"/>
      <c r="E812" s="14"/>
      <c r="F812" s="14"/>
      <c r="G812" s="14"/>
      <c r="H812" s="14"/>
      <c r="I812" s="14"/>
      <c r="J812" s="14"/>
      <c r="K812" s="14"/>
      <c r="L812" s="14"/>
      <c r="M812" s="14"/>
      <c r="N812" s="14"/>
      <c r="O812" s="16"/>
      <c r="P812" s="16"/>
      <c r="Q812" s="16"/>
      <c r="R812" s="16"/>
      <c r="S812" s="16"/>
      <c r="T812" s="16"/>
      <c r="U812" s="16"/>
      <c r="V812" s="16"/>
      <c r="W812" s="16"/>
      <c r="X812" s="16"/>
      <c r="Y812" s="16"/>
      <c r="Z812" s="16"/>
      <c r="AA812" s="16"/>
      <c r="AB812" s="16"/>
      <c r="AC812" s="16"/>
      <c r="AD812" s="16"/>
    </row>
    <row r="813" spans="2:30" ht="15.75" customHeight="1">
      <c r="B813" s="14"/>
      <c r="C813" s="14"/>
      <c r="D813" s="14"/>
      <c r="E813" s="14"/>
      <c r="F813" s="14"/>
      <c r="G813" s="14"/>
      <c r="H813" s="14"/>
      <c r="I813" s="14"/>
      <c r="J813" s="14"/>
      <c r="K813" s="14"/>
      <c r="L813" s="14"/>
      <c r="M813" s="14"/>
      <c r="N813" s="14"/>
      <c r="O813" s="16"/>
      <c r="P813" s="16"/>
      <c r="Q813" s="16"/>
      <c r="R813" s="16"/>
      <c r="S813" s="16"/>
      <c r="T813" s="16"/>
      <c r="U813" s="16"/>
      <c r="V813" s="16"/>
      <c r="W813" s="16"/>
      <c r="X813" s="16"/>
      <c r="Y813" s="16"/>
      <c r="Z813" s="16"/>
      <c r="AA813" s="16"/>
      <c r="AB813" s="16"/>
      <c r="AC813" s="16"/>
      <c r="AD813" s="16"/>
    </row>
    <row r="814" spans="2:30" ht="15.75" customHeight="1">
      <c r="B814" s="14"/>
      <c r="C814" s="14"/>
      <c r="D814" s="14"/>
      <c r="E814" s="14"/>
      <c r="F814" s="14"/>
      <c r="G814" s="14"/>
      <c r="H814" s="14"/>
      <c r="I814" s="14"/>
      <c r="J814" s="14"/>
      <c r="K814" s="14"/>
      <c r="L814" s="14"/>
      <c r="M814" s="14"/>
      <c r="N814" s="14"/>
      <c r="O814" s="16"/>
      <c r="P814" s="16"/>
      <c r="Q814" s="16"/>
      <c r="R814" s="16"/>
      <c r="S814" s="16"/>
      <c r="T814" s="16"/>
      <c r="U814" s="16"/>
      <c r="V814" s="16"/>
      <c r="W814" s="16"/>
      <c r="X814" s="16"/>
      <c r="Y814" s="16"/>
      <c r="Z814" s="16"/>
      <c r="AA814" s="16"/>
      <c r="AB814" s="16"/>
      <c r="AC814" s="16"/>
      <c r="AD814" s="16"/>
    </row>
    <row r="815" spans="2:30" ht="15.75" customHeight="1">
      <c r="B815" s="14"/>
      <c r="C815" s="14"/>
      <c r="D815" s="14"/>
      <c r="E815" s="14"/>
      <c r="F815" s="14"/>
      <c r="G815" s="14"/>
      <c r="H815" s="14"/>
      <c r="I815" s="14"/>
      <c r="J815" s="14"/>
      <c r="K815" s="14"/>
      <c r="L815" s="14"/>
      <c r="M815" s="14"/>
      <c r="N815" s="14"/>
      <c r="O815" s="16"/>
      <c r="P815" s="16"/>
      <c r="Q815" s="16"/>
      <c r="R815" s="16"/>
      <c r="S815" s="16"/>
      <c r="T815" s="16"/>
      <c r="U815" s="16"/>
      <c r="V815" s="16"/>
      <c r="W815" s="16"/>
      <c r="X815" s="16"/>
      <c r="Y815" s="16"/>
      <c r="Z815" s="16"/>
      <c r="AA815" s="16"/>
      <c r="AB815" s="16"/>
      <c r="AC815" s="16"/>
      <c r="AD815" s="16"/>
    </row>
    <row r="816" spans="2:30" ht="15.75" customHeight="1">
      <c r="B816" s="14"/>
      <c r="C816" s="14"/>
      <c r="D816" s="14"/>
      <c r="E816" s="14"/>
      <c r="F816" s="14"/>
      <c r="G816" s="14"/>
      <c r="H816" s="14"/>
      <c r="I816" s="14"/>
      <c r="J816" s="14"/>
      <c r="K816" s="14"/>
      <c r="L816" s="14"/>
      <c r="M816" s="14"/>
      <c r="N816" s="14"/>
      <c r="O816" s="16"/>
      <c r="P816" s="16"/>
      <c r="Q816" s="16"/>
      <c r="R816" s="16"/>
      <c r="S816" s="16"/>
      <c r="T816" s="16"/>
      <c r="U816" s="16"/>
      <c r="V816" s="16"/>
      <c r="W816" s="16"/>
      <c r="X816" s="16"/>
      <c r="Y816" s="16"/>
      <c r="Z816" s="16"/>
      <c r="AA816" s="16"/>
      <c r="AB816" s="16"/>
      <c r="AC816" s="16"/>
      <c r="AD816" s="16"/>
    </row>
    <row r="817" spans="2:30" ht="15.75" customHeight="1">
      <c r="B817" s="14"/>
      <c r="C817" s="14"/>
      <c r="D817" s="14"/>
      <c r="E817" s="14"/>
      <c r="F817" s="14"/>
      <c r="G817" s="14"/>
      <c r="H817" s="14"/>
      <c r="I817" s="14"/>
      <c r="J817" s="14"/>
      <c r="K817" s="14"/>
      <c r="L817" s="14"/>
      <c r="M817" s="14"/>
      <c r="N817" s="14"/>
      <c r="O817" s="16"/>
      <c r="P817" s="16"/>
      <c r="Q817" s="16"/>
      <c r="R817" s="16"/>
      <c r="S817" s="16"/>
      <c r="T817" s="16"/>
      <c r="U817" s="16"/>
      <c r="V817" s="16"/>
      <c r="W817" s="16"/>
      <c r="X817" s="16"/>
      <c r="Y817" s="16"/>
      <c r="Z817" s="16"/>
      <c r="AA817" s="16"/>
      <c r="AB817" s="16"/>
      <c r="AC817" s="16"/>
      <c r="AD817" s="16"/>
    </row>
    <row r="818" spans="2:30" ht="15.75" customHeight="1">
      <c r="B818" s="14"/>
      <c r="C818" s="14"/>
      <c r="D818" s="14"/>
      <c r="E818" s="14"/>
      <c r="F818" s="14"/>
      <c r="G818" s="14"/>
      <c r="H818" s="14"/>
      <c r="I818" s="14"/>
      <c r="J818" s="14"/>
      <c r="K818" s="14"/>
      <c r="L818" s="14"/>
      <c r="M818" s="14"/>
      <c r="N818" s="14"/>
      <c r="O818" s="16"/>
      <c r="P818" s="16"/>
      <c r="Q818" s="16"/>
      <c r="R818" s="16"/>
      <c r="S818" s="16"/>
      <c r="T818" s="16"/>
      <c r="U818" s="16"/>
      <c r="V818" s="16"/>
      <c r="W818" s="16"/>
      <c r="X818" s="16"/>
      <c r="Y818" s="16"/>
      <c r="Z818" s="16"/>
      <c r="AA818" s="16"/>
      <c r="AB818" s="16"/>
      <c r="AC818" s="16"/>
      <c r="AD818" s="16"/>
    </row>
    <row r="819" spans="2:30" ht="15.75" customHeight="1">
      <c r="B819" s="14"/>
      <c r="C819" s="14"/>
      <c r="D819" s="14"/>
      <c r="E819" s="14"/>
      <c r="F819" s="14"/>
      <c r="G819" s="14"/>
      <c r="H819" s="14"/>
      <c r="I819" s="14"/>
      <c r="J819" s="14"/>
      <c r="K819" s="14"/>
      <c r="L819" s="14"/>
      <c r="M819" s="14"/>
      <c r="N819" s="14"/>
      <c r="O819" s="16"/>
      <c r="P819" s="16"/>
      <c r="Q819" s="16"/>
      <c r="R819" s="16"/>
      <c r="S819" s="16"/>
      <c r="T819" s="16"/>
      <c r="U819" s="16"/>
      <c r="V819" s="16"/>
      <c r="W819" s="16"/>
      <c r="X819" s="16"/>
      <c r="Y819" s="16"/>
      <c r="Z819" s="16"/>
      <c r="AA819" s="16"/>
      <c r="AB819" s="16"/>
      <c r="AC819" s="16"/>
      <c r="AD819" s="16"/>
    </row>
    <row r="820" spans="2:30" ht="15.75" customHeight="1">
      <c r="B820" s="14"/>
      <c r="C820" s="14"/>
      <c r="D820" s="14"/>
      <c r="E820" s="14"/>
      <c r="F820" s="14"/>
      <c r="G820" s="14"/>
      <c r="H820" s="14"/>
      <c r="I820" s="14"/>
      <c r="J820" s="14"/>
      <c r="K820" s="14"/>
      <c r="L820" s="14"/>
      <c r="M820" s="14"/>
      <c r="N820" s="14"/>
      <c r="O820" s="16"/>
      <c r="P820" s="16"/>
      <c r="Q820" s="16"/>
      <c r="R820" s="16"/>
      <c r="S820" s="16"/>
      <c r="T820" s="16"/>
      <c r="U820" s="16"/>
      <c r="V820" s="16"/>
      <c r="W820" s="16"/>
      <c r="X820" s="16"/>
      <c r="Y820" s="16"/>
      <c r="Z820" s="16"/>
      <c r="AA820" s="16"/>
      <c r="AB820" s="16"/>
      <c r="AC820" s="16"/>
      <c r="AD820" s="16"/>
    </row>
    <row r="821" spans="2:30" ht="15.75" customHeight="1">
      <c r="B821" s="14"/>
      <c r="C821" s="14"/>
      <c r="D821" s="14"/>
      <c r="E821" s="14"/>
      <c r="F821" s="14"/>
      <c r="G821" s="14"/>
      <c r="H821" s="14"/>
      <c r="I821" s="14"/>
      <c r="J821" s="14"/>
      <c r="K821" s="14"/>
      <c r="L821" s="14"/>
      <c r="M821" s="14"/>
      <c r="N821" s="14"/>
      <c r="O821" s="16"/>
      <c r="P821" s="16"/>
      <c r="Q821" s="16"/>
      <c r="R821" s="16"/>
      <c r="S821" s="16"/>
      <c r="T821" s="16"/>
      <c r="U821" s="16"/>
      <c r="V821" s="16"/>
      <c r="W821" s="16"/>
      <c r="X821" s="16"/>
      <c r="Y821" s="16"/>
      <c r="Z821" s="16"/>
      <c r="AA821" s="16"/>
      <c r="AB821" s="16"/>
      <c r="AC821" s="16"/>
      <c r="AD821" s="16"/>
    </row>
    <row r="822" spans="2:30" ht="15.75" customHeight="1">
      <c r="B822" s="14"/>
      <c r="C822" s="14"/>
      <c r="D822" s="14"/>
      <c r="E822" s="14"/>
      <c r="F822" s="14"/>
      <c r="G822" s="14"/>
      <c r="H822" s="14"/>
      <c r="I822" s="14"/>
      <c r="J822" s="14"/>
      <c r="K822" s="14"/>
      <c r="L822" s="14"/>
      <c r="M822" s="14"/>
      <c r="N822" s="14"/>
      <c r="O822" s="16"/>
      <c r="P822" s="16"/>
      <c r="Q822" s="16"/>
      <c r="R822" s="16"/>
      <c r="S822" s="16"/>
      <c r="T822" s="16"/>
      <c r="U822" s="16"/>
      <c r="V822" s="16"/>
      <c r="W822" s="16"/>
      <c r="X822" s="16"/>
      <c r="Y822" s="16"/>
      <c r="Z822" s="16"/>
      <c r="AA822" s="16"/>
      <c r="AB822" s="16"/>
      <c r="AC822" s="16"/>
      <c r="AD822" s="16"/>
    </row>
    <row r="823" spans="2:30" ht="15.75" customHeight="1">
      <c r="B823" s="14"/>
      <c r="C823" s="14"/>
      <c r="D823" s="14"/>
      <c r="E823" s="14"/>
      <c r="F823" s="14"/>
      <c r="G823" s="14"/>
      <c r="H823" s="14"/>
      <c r="I823" s="14"/>
      <c r="J823" s="14"/>
      <c r="K823" s="14"/>
      <c r="L823" s="14"/>
      <c r="M823" s="14"/>
      <c r="N823" s="14"/>
      <c r="O823" s="16"/>
      <c r="P823" s="16"/>
      <c r="Q823" s="16"/>
      <c r="R823" s="16"/>
      <c r="S823" s="16"/>
      <c r="T823" s="16"/>
      <c r="U823" s="16"/>
      <c r="V823" s="16"/>
      <c r="W823" s="16"/>
      <c r="X823" s="16"/>
      <c r="Y823" s="16"/>
      <c r="Z823" s="16"/>
      <c r="AA823" s="16"/>
      <c r="AB823" s="16"/>
      <c r="AC823" s="16"/>
      <c r="AD823" s="16"/>
    </row>
    <row r="824" spans="2:30" ht="15.75" customHeight="1">
      <c r="B824" s="14"/>
      <c r="C824" s="14"/>
      <c r="D824" s="14"/>
      <c r="E824" s="14"/>
      <c r="F824" s="14"/>
      <c r="G824" s="14"/>
      <c r="H824" s="14"/>
      <c r="I824" s="14"/>
      <c r="J824" s="14"/>
      <c r="K824" s="14"/>
      <c r="L824" s="14"/>
      <c r="M824" s="14"/>
      <c r="N824" s="14"/>
      <c r="O824" s="16"/>
      <c r="P824" s="16"/>
      <c r="Q824" s="16"/>
      <c r="R824" s="16"/>
      <c r="S824" s="16"/>
      <c r="T824" s="16"/>
      <c r="U824" s="16"/>
      <c r="V824" s="16"/>
      <c r="W824" s="16"/>
      <c r="X824" s="16"/>
      <c r="Y824" s="16"/>
      <c r="Z824" s="16"/>
      <c r="AA824" s="16"/>
      <c r="AB824" s="16"/>
      <c r="AC824" s="16"/>
      <c r="AD824" s="16"/>
    </row>
    <row r="825" spans="2:30" ht="15.75" customHeight="1">
      <c r="B825" s="14"/>
      <c r="C825" s="14"/>
      <c r="D825" s="14"/>
      <c r="E825" s="14"/>
      <c r="F825" s="14"/>
      <c r="G825" s="14"/>
      <c r="H825" s="14"/>
      <c r="I825" s="14"/>
      <c r="J825" s="14"/>
      <c r="K825" s="14"/>
      <c r="L825" s="14"/>
      <c r="M825" s="14"/>
      <c r="N825" s="14"/>
      <c r="O825" s="16"/>
      <c r="P825" s="16"/>
      <c r="Q825" s="16"/>
      <c r="R825" s="16"/>
      <c r="S825" s="16"/>
      <c r="T825" s="16"/>
      <c r="U825" s="16"/>
      <c r="V825" s="16"/>
      <c r="W825" s="16"/>
      <c r="X825" s="16"/>
      <c r="Y825" s="16"/>
      <c r="Z825" s="16"/>
      <c r="AA825" s="16"/>
      <c r="AB825" s="16"/>
      <c r="AC825" s="16"/>
      <c r="AD825" s="16"/>
    </row>
    <row r="826" spans="2:30" ht="15.75" customHeight="1">
      <c r="B826" s="14"/>
      <c r="C826" s="14"/>
      <c r="D826" s="14"/>
      <c r="E826" s="14"/>
      <c r="F826" s="14"/>
      <c r="G826" s="14"/>
      <c r="H826" s="14"/>
      <c r="I826" s="14"/>
      <c r="J826" s="14"/>
      <c r="K826" s="14"/>
      <c r="L826" s="14"/>
      <c r="M826" s="14"/>
      <c r="N826" s="14"/>
      <c r="O826" s="16"/>
      <c r="P826" s="16"/>
      <c r="Q826" s="16"/>
      <c r="R826" s="16"/>
      <c r="S826" s="16"/>
      <c r="T826" s="16"/>
      <c r="U826" s="16"/>
      <c r="V826" s="16"/>
      <c r="W826" s="16"/>
      <c r="X826" s="16"/>
      <c r="Y826" s="16"/>
      <c r="Z826" s="16"/>
      <c r="AA826" s="16"/>
      <c r="AB826" s="16"/>
      <c r="AC826" s="16"/>
      <c r="AD826" s="16"/>
    </row>
    <row r="827" spans="2:30" ht="15.75" customHeight="1">
      <c r="B827" s="14"/>
      <c r="C827" s="14"/>
      <c r="D827" s="14"/>
      <c r="E827" s="14"/>
      <c r="F827" s="14"/>
      <c r="G827" s="14"/>
      <c r="H827" s="14"/>
      <c r="I827" s="14"/>
      <c r="J827" s="14"/>
      <c r="K827" s="14"/>
      <c r="L827" s="14"/>
      <c r="M827" s="14"/>
      <c r="N827" s="14"/>
      <c r="O827" s="16"/>
      <c r="P827" s="16"/>
      <c r="Q827" s="16"/>
      <c r="R827" s="16"/>
      <c r="S827" s="16"/>
      <c r="T827" s="16"/>
      <c r="U827" s="16"/>
      <c r="V827" s="16"/>
      <c r="W827" s="16"/>
      <c r="X827" s="16"/>
      <c r="Y827" s="16"/>
      <c r="Z827" s="16"/>
      <c r="AA827" s="16"/>
      <c r="AB827" s="16"/>
      <c r="AC827" s="16"/>
      <c r="AD827" s="16"/>
    </row>
    <row r="828" spans="2:30" ht="15.75" customHeight="1">
      <c r="B828" s="14"/>
      <c r="C828" s="14"/>
      <c r="D828" s="14"/>
      <c r="E828" s="14"/>
      <c r="F828" s="14"/>
      <c r="G828" s="14"/>
      <c r="H828" s="14"/>
      <c r="I828" s="14"/>
      <c r="J828" s="14"/>
      <c r="K828" s="14"/>
      <c r="L828" s="14"/>
      <c r="M828" s="14"/>
      <c r="N828" s="14"/>
      <c r="O828" s="16"/>
      <c r="P828" s="16"/>
      <c r="Q828" s="16"/>
      <c r="R828" s="16"/>
      <c r="S828" s="16"/>
      <c r="T828" s="16"/>
      <c r="U828" s="16"/>
      <c r="V828" s="16"/>
      <c r="W828" s="16"/>
      <c r="X828" s="16"/>
      <c r="Y828" s="16"/>
      <c r="Z828" s="16"/>
      <c r="AA828" s="16"/>
      <c r="AB828" s="16"/>
      <c r="AC828" s="16"/>
      <c r="AD828" s="16"/>
    </row>
    <row r="829" spans="2:30" ht="15.75" customHeight="1">
      <c r="B829" s="14"/>
      <c r="C829" s="14"/>
      <c r="D829" s="14"/>
      <c r="E829" s="14"/>
      <c r="F829" s="14"/>
      <c r="G829" s="14"/>
      <c r="H829" s="14"/>
      <c r="I829" s="14"/>
      <c r="J829" s="14"/>
      <c r="K829" s="14"/>
      <c r="L829" s="14"/>
      <c r="M829" s="14"/>
      <c r="N829" s="14"/>
      <c r="O829" s="16"/>
      <c r="P829" s="16"/>
      <c r="Q829" s="16"/>
      <c r="R829" s="16"/>
      <c r="S829" s="16"/>
      <c r="T829" s="16"/>
      <c r="U829" s="16"/>
      <c r="V829" s="16"/>
      <c r="W829" s="16"/>
      <c r="X829" s="16"/>
      <c r="Y829" s="16"/>
      <c r="Z829" s="16"/>
      <c r="AA829" s="16"/>
      <c r="AB829" s="16"/>
      <c r="AC829" s="16"/>
      <c r="AD829" s="16"/>
    </row>
    <row r="830" spans="2:30" ht="15.75" customHeight="1">
      <c r="B830" s="14"/>
      <c r="C830" s="14"/>
      <c r="D830" s="14"/>
      <c r="E830" s="14"/>
      <c r="F830" s="14"/>
      <c r="G830" s="14"/>
      <c r="H830" s="14"/>
      <c r="I830" s="14"/>
      <c r="J830" s="14"/>
      <c r="K830" s="14"/>
      <c r="L830" s="14"/>
      <c r="M830" s="14"/>
      <c r="N830" s="14"/>
      <c r="O830" s="16"/>
      <c r="P830" s="16"/>
      <c r="Q830" s="16"/>
      <c r="R830" s="16"/>
      <c r="S830" s="16"/>
      <c r="T830" s="16"/>
      <c r="U830" s="16"/>
      <c r="V830" s="16"/>
      <c r="W830" s="16"/>
      <c r="X830" s="16"/>
      <c r="Y830" s="16"/>
      <c r="Z830" s="16"/>
      <c r="AA830" s="16"/>
      <c r="AB830" s="16"/>
      <c r="AC830" s="16"/>
      <c r="AD830" s="16"/>
    </row>
    <row r="831" spans="2:30" ht="15.75" customHeight="1">
      <c r="B831" s="14"/>
      <c r="C831" s="14"/>
      <c r="D831" s="14"/>
      <c r="E831" s="14"/>
      <c r="F831" s="14"/>
      <c r="G831" s="14"/>
      <c r="H831" s="14"/>
      <c r="I831" s="14"/>
      <c r="J831" s="14"/>
      <c r="K831" s="14"/>
      <c r="L831" s="14"/>
      <c r="M831" s="14"/>
      <c r="N831" s="14"/>
      <c r="O831" s="16"/>
      <c r="P831" s="16"/>
      <c r="Q831" s="16"/>
      <c r="R831" s="16"/>
      <c r="S831" s="16"/>
      <c r="T831" s="16"/>
      <c r="U831" s="16"/>
      <c r="V831" s="16"/>
      <c r="W831" s="16"/>
      <c r="X831" s="16"/>
      <c r="Y831" s="16"/>
      <c r="Z831" s="16"/>
      <c r="AA831" s="16"/>
      <c r="AB831" s="16"/>
      <c r="AC831" s="16"/>
      <c r="AD831" s="16"/>
    </row>
    <row r="832" spans="2:30" ht="15.75" customHeight="1">
      <c r="B832" s="14"/>
      <c r="C832" s="14"/>
      <c r="D832" s="14"/>
      <c r="E832" s="14"/>
      <c r="F832" s="14"/>
      <c r="G832" s="14"/>
      <c r="H832" s="14"/>
      <c r="I832" s="14"/>
      <c r="J832" s="14"/>
      <c r="K832" s="14"/>
      <c r="L832" s="14"/>
      <c r="M832" s="14"/>
      <c r="N832" s="14"/>
      <c r="O832" s="16"/>
      <c r="P832" s="16"/>
      <c r="Q832" s="16"/>
      <c r="R832" s="16"/>
      <c r="S832" s="16"/>
      <c r="T832" s="16"/>
      <c r="U832" s="16"/>
      <c r="V832" s="16"/>
      <c r="W832" s="16"/>
      <c r="X832" s="16"/>
      <c r="Y832" s="16"/>
      <c r="Z832" s="16"/>
      <c r="AA832" s="16"/>
      <c r="AB832" s="16"/>
      <c r="AC832" s="16"/>
      <c r="AD832" s="16"/>
    </row>
    <row r="833" spans="2:30" ht="15.75" customHeight="1">
      <c r="B833" s="14"/>
      <c r="C833" s="14"/>
      <c r="D833" s="14"/>
      <c r="E833" s="14"/>
      <c r="F833" s="14"/>
      <c r="G833" s="14"/>
      <c r="H833" s="14"/>
      <c r="I833" s="14"/>
      <c r="J833" s="14"/>
      <c r="K833" s="14"/>
      <c r="L833" s="14"/>
      <c r="M833" s="14"/>
      <c r="N833" s="14"/>
      <c r="O833" s="16"/>
      <c r="P833" s="16"/>
      <c r="Q833" s="16"/>
      <c r="R833" s="16"/>
      <c r="S833" s="16"/>
      <c r="T833" s="16"/>
      <c r="U833" s="16"/>
      <c r="V833" s="16"/>
      <c r="W833" s="16"/>
      <c r="X833" s="16"/>
      <c r="Y833" s="16"/>
      <c r="Z833" s="16"/>
      <c r="AA833" s="16"/>
      <c r="AB833" s="16"/>
      <c r="AC833" s="16"/>
      <c r="AD833" s="16"/>
    </row>
    <row r="834" spans="2:30" ht="15.75" customHeight="1">
      <c r="B834" s="14"/>
      <c r="C834" s="14"/>
      <c r="D834" s="14"/>
      <c r="E834" s="14"/>
      <c r="F834" s="14"/>
      <c r="G834" s="14"/>
      <c r="H834" s="14"/>
      <c r="I834" s="14"/>
      <c r="J834" s="14"/>
      <c r="K834" s="14"/>
      <c r="L834" s="14"/>
      <c r="M834" s="14"/>
      <c r="N834" s="14"/>
      <c r="O834" s="16"/>
      <c r="P834" s="16"/>
      <c r="Q834" s="16"/>
      <c r="R834" s="16"/>
      <c r="S834" s="16"/>
      <c r="T834" s="16"/>
      <c r="U834" s="16"/>
      <c r="V834" s="16"/>
      <c r="W834" s="16"/>
      <c r="X834" s="16"/>
      <c r="Y834" s="16"/>
      <c r="Z834" s="16"/>
      <c r="AA834" s="16"/>
      <c r="AB834" s="16"/>
      <c r="AC834" s="16"/>
      <c r="AD834" s="16"/>
    </row>
    <row r="835" spans="2:30" ht="15.75" customHeight="1">
      <c r="B835" s="14"/>
      <c r="C835" s="14"/>
      <c r="D835" s="14"/>
      <c r="E835" s="14"/>
      <c r="F835" s="14"/>
      <c r="G835" s="14"/>
      <c r="H835" s="14"/>
      <c r="I835" s="14"/>
      <c r="J835" s="14"/>
      <c r="K835" s="14"/>
      <c r="L835" s="14"/>
      <c r="M835" s="14"/>
      <c r="N835" s="14"/>
      <c r="O835" s="16"/>
      <c r="P835" s="16"/>
      <c r="Q835" s="16"/>
      <c r="R835" s="16"/>
      <c r="S835" s="16"/>
      <c r="T835" s="16"/>
      <c r="U835" s="16"/>
      <c r="V835" s="16"/>
      <c r="W835" s="16"/>
      <c r="X835" s="16"/>
      <c r="Y835" s="16"/>
      <c r="Z835" s="16"/>
      <c r="AA835" s="16"/>
      <c r="AB835" s="16"/>
      <c r="AC835" s="16"/>
      <c r="AD835" s="16"/>
    </row>
    <row r="836" spans="2:30" ht="15.75" customHeight="1">
      <c r="B836" s="14"/>
      <c r="C836" s="14"/>
      <c r="D836" s="14"/>
      <c r="E836" s="14"/>
      <c r="F836" s="14"/>
      <c r="G836" s="14"/>
      <c r="H836" s="14"/>
      <c r="I836" s="14"/>
      <c r="J836" s="14"/>
      <c r="K836" s="14"/>
      <c r="L836" s="14"/>
      <c r="M836" s="14"/>
      <c r="N836" s="14"/>
      <c r="O836" s="16"/>
      <c r="P836" s="16"/>
      <c r="Q836" s="16"/>
      <c r="R836" s="16"/>
      <c r="S836" s="16"/>
      <c r="T836" s="16"/>
      <c r="U836" s="16"/>
      <c r="V836" s="16"/>
      <c r="W836" s="16"/>
      <c r="X836" s="16"/>
      <c r="Y836" s="16"/>
      <c r="Z836" s="16"/>
      <c r="AA836" s="16"/>
      <c r="AB836" s="16"/>
      <c r="AC836" s="16"/>
      <c r="AD836" s="16"/>
    </row>
    <row r="837" spans="2:30" ht="15.75" customHeight="1">
      <c r="B837" s="14"/>
      <c r="C837" s="14"/>
      <c r="D837" s="14"/>
      <c r="E837" s="14"/>
      <c r="F837" s="14"/>
      <c r="G837" s="14"/>
      <c r="H837" s="14"/>
      <c r="I837" s="14"/>
      <c r="J837" s="14"/>
      <c r="K837" s="14"/>
      <c r="L837" s="14"/>
      <c r="M837" s="14"/>
      <c r="N837" s="14"/>
      <c r="O837" s="16"/>
      <c r="P837" s="16"/>
      <c r="Q837" s="16"/>
      <c r="R837" s="16"/>
      <c r="S837" s="16"/>
      <c r="T837" s="16"/>
      <c r="U837" s="16"/>
      <c r="V837" s="16"/>
      <c r="W837" s="16"/>
      <c r="X837" s="16"/>
      <c r="Y837" s="16"/>
      <c r="Z837" s="16"/>
      <c r="AA837" s="16"/>
      <c r="AB837" s="16"/>
      <c r="AC837" s="16"/>
      <c r="AD837" s="16"/>
    </row>
    <row r="838" spans="2:30" ht="15.75" customHeight="1">
      <c r="B838" s="14"/>
      <c r="C838" s="14"/>
      <c r="D838" s="14"/>
      <c r="E838" s="14"/>
      <c r="F838" s="14"/>
      <c r="G838" s="14"/>
      <c r="H838" s="14"/>
      <c r="I838" s="14"/>
      <c r="J838" s="14"/>
      <c r="K838" s="14"/>
      <c r="L838" s="14"/>
      <c r="M838" s="14"/>
      <c r="N838" s="14"/>
      <c r="O838" s="16"/>
      <c r="P838" s="16"/>
      <c r="Q838" s="16"/>
      <c r="R838" s="16"/>
      <c r="S838" s="16"/>
      <c r="T838" s="16"/>
      <c r="U838" s="16"/>
      <c r="V838" s="16"/>
      <c r="W838" s="16"/>
      <c r="X838" s="16"/>
      <c r="Y838" s="16"/>
      <c r="Z838" s="16"/>
      <c r="AA838" s="16"/>
      <c r="AB838" s="16"/>
      <c r="AC838" s="16"/>
      <c r="AD838" s="16"/>
    </row>
    <row r="839" spans="2:30" ht="15.75" customHeight="1">
      <c r="B839" s="14"/>
      <c r="C839" s="14"/>
      <c r="D839" s="14"/>
      <c r="E839" s="14"/>
      <c r="F839" s="14"/>
      <c r="G839" s="14"/>
      <c r="H839" s="14"/>
      <c r="I839" s="14"/>
      <c r="J839" s="14"/>
      <c r="K839" s="14"/>
      <c r="L839" s="14"/>
      <c r="M839" s="14"/>
      <c r="N839" s="14"/>
      <c r="O839" s="16"/>
      <c r="P839" s="16"/>
      <c r="Q839" s="16"/>
      <c r="R839" s="16"/>
      <c r="S839" s="16"/>
      <c r="T839" s="16"/>
      <c r="U839" s="16"/>
      <c r="V839" s="16"/>
      <c r="W839" s="16"/>
      <c r="X839" s="16"/>
      <c r="Y839" s="16"/>
      <c r="Z839" s="16"/>
      <c r="AA839" s="16"/>
      <c r="AB839" s="16"/>
      <c r="AC839" s="16"/>
      <c r="AD839" s="16"/>
    </row>
    <row r="840" spans="2:30" ht="15.75" customHeight="1">
      <c r="B840" s="14"/>
      <c r="C840" s="14"/>
      <c r="D840" s="14"/>
      <c r="E840" s="14"/>
      <c r="F840" s="14"/>
      <c r="G840" s="14"/>
      <c r="H840" s="14"/>
      <c r="I840" s="14"/>
      <c r="J840" s="14"/>
      <c r="K840" s="14"/>
      <c r="L840" s="14"/>
      <c r="M840" s="14"/>
      <c r="N840" s="14"/>
      <c r="O840" s="16"/>
      <c r="P840" s="16"/>
      <c r="Q840" s="16"/>
      <c r="R840" s="16"/>
      <c r="S840" s="16"/>
      <c r="T840" s="16"/>
      <c r="U840" s="16"/>
      <c r="V840" s="16"/>
      <c r="W840" s="16"/>
      <c r="X840" s="16"/>
      <c r="Y840" s="16"/>
      <c r="Z840" s="16"/>
      <c r="AA840" s="16"/>
      <c r="AB840" s="16"/>
      <c r="AC840" s="16"/>
      <c r="AD840" s="16"/>
    </row>
    <row r="841" spans="2:30" ht="15.75" customHeight="1">
      <c r="B841" s="14"/>
      <c r="C841" s="14"/>
      <c r="D841" s="14"/>
      <c r="E841" s="14"/>
      <c r="F841" s="14"/>
      <c r="G841" s="14"/>
      <c r="H841" s="14"/>
      <c r="I841" s="14"/>
      <c r="J841" s="14"/>
      <c r="K841" s="14"/>
      <c r="L841" s="14"/>
      <c r="M841" s="14"/>
      <c r="N841" s="14"/>
      <c r="O841" s="16"/>
      <c r="P841" s="16"/>
      <c r="Q841" s="16"/>
      <c r="R841" s="16"/>
      <c r="S841" s="16"/>
      <c r="T841" s="16"/>
      <c r="U841" s="16"/>
      <c r="V841" s="16"/>
      <c r="W841" s="16"/>
      <c r="X841" s="16"/>
      <c r="Y841" s="16"/>
      <c r="Z841" s="16"/>
      <c r="AA841" s="16"/>
      <c r="AB841" s="16"/>
      <c r="AC841" s="16"/>
      <c r="AD841" s="16"/>
    </row>
    <row r="842" spans="2:30" ht="15.75" customHeight="1">
      <c r="B842" s="14"/>
      <c r="C842" s="14"/>
      <c r="D842" s="14"/>
      <c r="E842" s="14"/>
      <c r="F842" s="14"/>
      <c r="G842" s="14"/>
      <c r="H842" s="14"/>
      <c r="I842" s="14"/>
      <c r="J842" s="14"/>
      <c r="K842" s="14"/>
      <c r="L842" s="14"/>
      <c r="M842" s="14"/>
      <c r="N842" s="14"/>
      <c r="O842" s="16"/>
      <c r="P842" s="16"/>
      <c r="Q842" s="16"/>
      <c r="R842" s="16"/>
      <c r="S842" s="16"/>
      <c r="T842" s="16"/>
      <c r="U842" s="16"/>
      <c r="V842" s="16"/>
      <c r="W842" s="16"/>
      <c r="X842" s="16"/>
      <c r="Y842" s="16"/>
      <c r="Z842" s="16"/>
      <c r="AA842" s="16"/>
      <c r="AB842" s="16"/>
      <c r="AC842" s="16"/>
      <c r="AD842" s="16"/>
    </row>
    <row r="843" spans="2:30" ht="15.75" customHeight="1">
      <c r="B843" s="14"/>
      <c r="C843" s="14"/>
      <c r="D843" s="14"/>
      <c r="E843" s="14"/>
      <c r="F843" s="14"/>
      <c r="G843" s="14"/>
      <c r="H843" s="14"/>
      <c r="I843" s="14"/>
      <c r="J843" s="14"/>
      <c r="K843" s="14"/>
      <c r="L843" s="14"/>
      <c r="M843" s="14"/>
      <c r="N843" s="14"/>
      <c r="O843" s="16"/>
      <c r="P843" s="16"/>
      <c r="Q843" s="16"/>
      <c r="R843" s="16"/>
      <c r="S843" s="16"/>
      <c r="T843" s="16"/>
      <c r="U843" s="16"/>
      <c r="V843" s="16"/>
      <c r="W843" s="16"/>
      <c r="X843" s="16"/>
      <c r="Y843" s="16"/>
      <c r="Z843" s="16"/>
      <c r="AA843" s="16"/>
      <c r="AB843" s="16"/>
      <c r="AC843" s="16"/>
      <c r="AD843" s="16"/>
    </row>
    <row r="844" spans="2:30" ht="15.75" customHeight="1">
      <c r="B844" s="14"/>
      <c r="C844" s="14"/>
      <c r="D844" s="14"/>
      <c r="E844" s="14"/>
      <c r="F844" s="14"/>
      <c r="G844" s="14"/>
      <c r="H844" s="14"/>
      <c r="I844" s="14"/>
      <c r="J844" s="14"/>
      <c r="K844" s="14"/>
      <c r="L844" s="14"/>
      <c r="M844" s="14"/>
      <c r="N844" s="14"/>
      <c r="O844" s="16"/>
      <c r="P844" s="16"/>
      <c r="Q844" s="16"/>
      <c r="R844" s="16"/>
      <c r="S844" s="16"/>
      <c r="T844" s="16"/>
      <c r="U844" s="16"/>
      <c r="V844" s="16"/>
      <c r="W844" s="16"/>
      <c r="X844" s="16"/>
      <c r="Y844" s="16"/>
      <c r="Z844" s="16"/>
      <c r="AA844" s="16"/>
      <c r="AB844" s="16"/>
      <c r="AC844" s="16"/>
      <c r="AD844" s="16"/>
    </row>
    <row r="845" spans="2:30" ht="15.75" customHeight="1">
      <c r="B845" s="14"/>
      <c r="C845" s="14"/>
      <c r="D845" s="14"/>
      <c r="E845" s="14"/>
      <c r="F845" s="14"/>
      <c r="G845" s="14"/>
      <c r="H845" s="14"/>
      <c r="I845" s="14"/>
      <c r="J845" s="14"/>
      <c r="K845" s="14"/>
      <c r="L845" s="14"/>
      <c r="M845" s="14"/>
      <c r="N845" s="14"/>
      <c r="O845" s="16"/>
      <c r="P845" s="16"/>
      <c r="Q845" s="16"/>
      <c r="R845" s="16"/>
      <c r="S845" s="16"/>
      <c r="T845" s="16"/>
      <c r="U845" s="16"/>
      <c r="V845" s="16"/>
      <c r="W845" s="16"/>
      <c r="X845" s="16"/>
      <c r="Y845" s="16"/>
      <c r="Z845" s="16"/>
      <c r="AA845" s="16"/>
      <c r="AB845" s="16"/>
      <c r="AC845" s="16"/>
      <c r="AD845" s="16"/>
    </row>
    <row r="846" spans="2:30" ht="15.75" customHeight="1">
      <c r="B846" s="14"/>
      <c r="C846" s="14"/>
      <c r="D846" s="14"/>
      <c r="E846" s="14"/>
      <c r="F846" s="14"/>
      <c r="G846" s="14"/>
      <c r="H846" s="14"/>
      <c r="I846" s="14"/>
      <c r="J846" s="14"/>
      <c r="K846" s="14"/>
      <c r="L846" s="14"/>
      <c r="M846" s="14"/>
      <c r="N846" s="14"/>
      <c r="O846" s="16"/>
      <c r="P846" s="16"/>
      <c r="Q846" s="16"/>
      <c r="R846" s="16"/>
      <c r="S846" s="16"/>
      <c r="T846" s="16"/>
      <c r="U846" s="16"/>
      <c r="V846" s="16"/>
      <c r="W846" s="16"/>
      <c r="X846" s="16"/>
      <c r="Y846" s="16"/>
      <c r="Z846" s="16"/>
      <c r="AA846" s="16"/>
      <c r="AB846" s="16"/>
      <c r="AC846" s="16"/>
      <c r="AD846" s="16"/>
    </row>
    <row r="847" spans="2:30" ht="15.75" customHeight="1">
      <c r="B847" s="14"/>
      <c r="C847" s="14"/>
      <c r="D847" s="14"/>
      <c r="E847" s="14"/>
      <c r="F847" s="14"/>
      <c r="G847" s="14"/>
      <c r="H847" s="14"/>
      <c r="I847" s="14"/>
      <c r="J847" s="14"/>
      <c r="K847" s="14"/>
      <c r="L847" s="14"/>
      <c r="M847" s="14"/>
      <c r="N847" s="14"/>
      <c r="O847" s="16"/>
      <c r="P847" s="16"/>
      <c r="Q847" s="16"/>
      <c r="R847" s="16"/>
      <c r="S847" s="16"/>
      <c r="T847" s="16"/>
      <c r="U847" s="16"/>
      <c r="V847" s="16"/>
      <c r="W847" s="16"/>
      <c r="X847" s="16"/>
      <c r="Y847" s="16"/>
      <c r="Z847" s="16"/>
      <c r="AA847" s="16"/>
      <c r="AB847" s="16"/>
      <c r="AC847" s="16"/>
      <c r="AD847" s="16"/>
    </row>
    <row r="848" spans="2:30" ht="15.75" customHeight="1">
      <c r="B848" s="14"/>
      <c r="C848" s="14"/>
      <c r="D848" s="14"/>
      <c r="E848" s="14"/>
      <c r="F848" s="14"/>
      <c r="G848" s="14"/>
      <c r="H848" s="14"/>
      <c r="I848" s="14"/>
      <c r="J848" s="14"/>
      <c r="K848" s="14"/>
      <c r="L848" s="14"/>
      <c r="M848" s="14"/>
      <c r="N848" s="14"/>
      <c r="O848" s="16"/>
      <c r="P848" s="16"/>
      <c r="Q848" s="16"/>
      <c r="R848" s="16"/>
      <c r="S848" s="16"/>
      <c r="T848" s="16"/>
      <c r="U848" s="16"/>
      <c r="V848" s="16"/>
      <c r="W848" s="16"/>
      <c r="X848" s="16"/>
      <c r="Y848" s="16"/>
      <c r="Z848" s="16"/>
      <c r="AA848" s="16"/>
      <c r="AB848" s="16"/>
      <c r="AC848" s="16"/>
      <c r="AD848" s="16"/>
    </row>
    <row r="849" spans="2:30" ht="15.75" customHeight="1">
      <c r="B849" s="14"/>
      <c r="C849" s="14"/>
      <c r="D849" s="14"/>
      <c r="E849" s="14"/>
      <c r="F849" s="14"/>
      <c r="G849" s="14"/>
      <c r="H849" s="14"/>
      <c r="I849" s="14"/>
      <c r="J849" s="14"/>
      <c r="K849" s="14"/>
      <c r="L849" s="14"/>
      <c r="M849" s="14"/>
      <c r="N849" s="14"/>
      <c r="O849" s="16"/>
      <c r="P849" s="16"/>
      <c r="Q849" s="16"/>
      <c r="R849" s="16"/>
      <c r="S849" s="16"/>
      <c r="T849" s="16"/>
      <c r="U849" s="16"/>
      <c r="V849" s="16"/>
      <c r="W849" s="16"/>
      <c r="X849" s="16"/>
      <c r="Y849" s="16"/>
      <c r="Z849" s="16"/>
      <c r="AA849" s="16"/>
      <c r="AB849" s="16"/>
      <c r="AC849" s="16"/>
      <c r="AD849" s="16"/>
    </row>
    <row r="850" spans="2:30" ht="15.75" customHeight="1">
      <c r="B850" s="14"/>
      <c r="C850" s="14"/>
      <c r="D850" s="14"/>
      <c r="E850" s="14"/>
      <c r="F850" s="14"/>
      <c r="G850" s="14"/>
      <c r="H850" s="14"/>
      <c r="I850" s="14"/>
      <c r="J850" s="14"/>
      <c r="K850" s="14"/>
      <c r="L850" s="14"/>
      <c r="M850" s="14"/>
      <c r="N850" s="14"/>
      <c r="O850" s="16"/>
      <c r="P850" s="16"/>
      <c r="Q850" s="16"/>
      <c r="R850" s="16"/>
      <c r="S850" s="16"/>
      <c r="T850" s="16"/>
      <c r="U850" s="16"/>
      <c r="V850" s="16"/>
      <c r="W850" s="16"/>
      <c r="X850" s="16"/>
      <c r="Y850" s="16"/>
      <c r="Z850" s="16"/>
      <c r="AA850" s="16"/>
      <c r="AB850" s="16"/>
      <c r="AC850" s="16"/>
      <c r="AD850" s="16"/>
    </row>
    <row r="851" spans="2:30" ht="15.75" customHeight="1">
      <c r="B851" s="14"/>
      <c r="C851" s="14"/>
      <c r="D851" s="14"/>
      <c r="E851" s="14"/>
      <c r="F851" s="14"/>
      <c r="G851" s="14"/>
      <c r="H851" s="14"/>
      <c r="I851" s="14"/>
      <c r="J851" s="14"/>
      <c r="K851" s="14"/>
      <c r="L851" s="14"/>
      <c r="M851" s="14"/>
      <c r="N851" s="14"/>
      <c r="O851" s="16"/>
      <c r="P851" s="16"/>
      <c r="Q851" s="16"/>
      <c r="R851" s="16"/>
      <c r="S851" s="16"/>
      <c r="T851" s="16"/>
      <c r="U851" s="16"/>
      <c r="V851" s="16"/>
      <c r="W851" s="16"/>
      <c r="X851" s="16"/>
      <c r="Y851" s="16"/>
      <c r="Z851" s="16"/>
      <c r="AA851" s="16"/>
      <c r="AB851" s="16"/>
      <c r="AC851" s="16"/>
      <c r="AD851" s="16"/>
    </row>
    <row r="852" spans="2:30" ht="15.75" customHeight="1">
      <c r="B852" s="14"/>
      <c r="C852" s="14"/>
      <c r="D852" s="14"/>
      <c r="E852" s="14"/>
      <c r="F852" s="14"/>
      <c r="G852" s="14"/>
      <c r="H852" s="14"/>
      <c r="I852" s="14"/>
      <c r="J852" s="14"/>
      <c r="K852" s="14"/>
      <c r="L852" s="14"/>
      <c r="M852" s="14"/>
      <c r="N852" s="14"/>
      <c r="O852" s="16"/>
      <c r="P852" s="16"/>
      <c r="Q852" s="16"/>
      <c r="R852" s="16"/>
      <c r="S852" s="16"/>
      <c r="T852" s="16"/>
      <c r="U852" s="16"/>
      <c r="V852" s="16"/>
      <c r="W852" s="16"/>
      <c r="X852" s="16"/>
      <c r="Y852" s="16"/>
      <c r="Z852" s="16"/>
      <c r="AA852" s="16"/>
      <c r="AB852" s="16"/>
      <c r="AC852" s="16"/>
      <c r="AD852" s="16"/>
    </row>
    <row r="853" spans="2:30" ht="15.75" customHeight="1">
      <c r="B853" s="14"/>
      <c r="C853" s="14"/>
      <c r="D853" s="14"/>
      <c r="E853" s="14"/>
      <c r="F853" s="14"/>
      <c r="G853" s="14"/>
      <c r="H853" s="14"/>
      <c r="I853" s="14"/>
      <c r="J853" s="14"/>
      <c r="K853" s="14"/>
      <c r="L853" s="14"/>
      <c r="M853" s="14"/>
      <c r="N853" s="14"/>
      <c r="O853" s="16"/>
      <c r="P853" s="16"/>
      <c r="Q853" s="16"/>
      <c r="R853" s="16"/>
      <c r="S853" s="16"/>
      <c r="T853" s="16"/>
      <c r="U853" s="16"/>
      <c r="V853" s="16"/>
      <c r="W853" s="16"/>
      <c r="X853" s="16"/>
      <c r="Y853" s="16"/>
      <c r="Z853" s="16"/>
      <c r="AA853" s="16"/>
      <c r="AB853" s="16"/>
      <c r="AC853" s="16"/>
      <c r="AD853" s="16"/>
    </row>
    <row r="854" spans="2:30" ht="15.75" customHeight="1">
      <c r="B854" s="14"/>
      <c r="C854" s="14"/>
      <c r="D854" s="14"/>
      <c r="E854" s="14"/>
      <c r="F854" s="14"/>
      <c r="G854" s="14"/>
      <c r="H854" s="14"/>
      <c r="I854" s="14"/>
      <c r="J854" s="14"/>
      <c r="K854" s="14"/>
      <c r="L854" s="14"/>
      <c r="M854" s="14"/>
      <c r="N854" s="14"/>
      <c r="O854" s="16"/>
      <c r="P854" s="16"/>
      <c r="Q854" s="16"/>
      <c r="R854" s="16"/>
      <c r="S854" s="16"/>
      <c r="T854" s="16"/>
      <c r="U854" s="16"/>
      <c r="V854" s="16"/>
      <c r="W854" s="16"/>
      <c r="X854" s="16"/>
      <c r="Y854" s="16"/>
      <c r="Z854" s="16"/>
      <c r="AA854" s="16"/>
      <c r="AB854" s="16"/>
      <c r="AC854" s="16"/>
      <c r="AD854" s="16"/>
    </row>
    <row r="855" spans="2:30" ht="15.75" customHeight="1">
      <c r="B855" s="14"/>
      <c r="C855" s="14"/>
      <c r="D855" s="14"/>
      <c r="E855" s="14"/>
      <c r="F855" s="14"/>
      <c r="G855" s="14"/>
      <c r="H855" s="14"/>
      <c r="I855" s="14"/>
      <c r="J855" s="14"/>
      <c r="K855" s="14"/>
      <c r="L855" s="14"/>
      <c r="M855" s="14"/>
      <c r="N855" s="14"/>
      <c r="O855" s="16"/>
      <c r="P855" s="16"/>
      <c r="Q855" s="16"/>
      <c r="R855" s="16"/>
      <c r="S855" s="16"/>
      <c r="T855" s="16"/>
      <c r="U855" s="16"/>
      <c r="V855" s="16"/>
      <c r="W855" s="16"/>
      <c r="X855" s="16"/>
      <c r="Y855" s="16"/>
      <c r="Z855" s="16"/>
      <c r="AA855" s="16"/>
      <c r="AB855" s="16"/>
      <c r="AC855" s="16"/>
      <c r="AD855" s="16"/>
    </row>
    <row r="856" spans="2:30" ht="15.75" customHeight="1">
      <c r="B856" s="14"/>
      <c r="C856" s="14"/>
      <c r="D856" s="14"/>
      <c r="E856" s="14"/>
      <c r="F856" s="14"/>
      <c r="G856" s="14"/>
      <c r="H856" s="14"/>
      <c r="I856" s="14"/>
      <c r="J856" s="14"/>
      <c r="K856" s="14"/>
      <c r="L856" s="14"/>
      <c r="M856" s="14"/>
      <c r="N856" s="14"/>
      <c r="O856" s="16"/>
      <c r="P856" s="16"/>
      <c r="Q856" s="16"/>
      <c r="R856" s="16"/>
      <c r="S856" s="16"/>
      <c r="T856" s="16"/>
      <c r="U856" s="16"/>
      <c r="V856" s="16"/>
      <c r="W856" s="16"/>
      <c r="X856" s="16"/>
      <c r="Y856" s="16"/>
      <c r="Z856" s="16"/>
      <c r="AA856" s="16"/>
      <c r="AB856" s="16"/>
      <c r="AC856" s="16"/>
      <c r="AD856" s="16"/>
    </row>
    <row r="857" spans="2:30" ht="15.75" customHeight="1">
      <c r="B857" s="14"/>
      <c r="C857" s="14"/>
      <c r="D857" s="14"/>
      <c r="E857" s="14"/>
      <c r="F857" s="14"/>
      <c r="G857" s="14"/>
      <c r="H857" s="14"/>
      <c r="I857" s="14"/>
      <c r="J857" s="14"/>
      <c r="K857" s="14"/>
      <c r="L857" s="14"/>
      <c r="M857" s="14"/>
      <c r="N857" s="14"/>
      <c r="O857" s="16"/>
      <c r="P857" s="16"/>
      <c r="Q857" s="16"/>
      <c r="R857" s="16"/>
      <c r="S857" s="16"/>
      <c r="T857" s="16"/>
      <c r="U857" s="16"/>
      <c r="V857" s="16"/>
      <c r="W857" s="16"/>
      <c r="X857" s="16"/>
      <c r="Y857" s="16"/>
      <c r="Z857" s="16"/>
      <c r="AA857" s="16"/>
      <c r="AB857" s="16"/>
      <c r="AC857" s="16"/>
      <c r="AD857" s="16"/>
    </row>
    <row r="858" spans="2:30" ht="15.75" customHeight="1">
      <c r="B858" s="14"/>
      <c r="C858" s="14"/>
      <c r="D858" s="14"/>
      <c r="E858" s="14"/>
      <c r="F858" s="14"/>
      <c r="G858" s="14"/>
      <c r="H858" s="14"/>
      <c r="I858" s="14"/>
      <c r="J858" s="14"/>
      <c r="K858" s="14"/>
      <c r="L858" s="14"/>
      <c r="M858" s="14"/>
      <c r="N858" s="14"/>
      <c r="O858" s="16"/>
      <c r="P858" s="16"/>
      <c r="Q858" s="16"/>
      <c r="R858" s="16"/>
      <c r="S858" s="16"/>
      <c r="T858" s="16"/>
      <c r="U858" s="16"/>
      <c r="V858" s="16"/>
      <c r="W858" s="16"/>
      <c r="X858" s="16"/>
      <c r="Y858" s="16"/>
      <c r="Z858" s="16"/>
      <c r="AA858" s="16"/>
      <c r="AB858" s="16"/>
      <c r="AC858" s="16"/>
      <c r="AD858" s="16"/>
    </row>
    <row r="859" spans="2:30" ht="15.75" customHeight="1">
      <c r="B859" s="14"/>
      <c r="C859" s="14"/>
      <c r="D859" s="14"/>
      <c r="E859" s="14"/>
      <c r="F859" s="14"/>
      <c r="G859" s="14"/>
      <c r="H859" s="14"/>
      <c r="I859" s="14"/>
      <c r="J859" s="14"/>
      <c r="K859" s="14"/>
      <c r="L859" s="14"/>
      <c r="M859" s="14"/>
      <c r="N859" s="14"/>
      <c r="O859" s="16"/>
      <c r="P859" s="16"/>
      <c r="Q859" s="16"/>
      <c r="R859" s="16"/>
      <c r="S859" s="16"/>
      <c r="T859" s="16"/>
      <c r="U859" s="16"/>
      <c r="V859" s="16"/>
      <c r="W859" s="16"/>
      <c r="X859" s="16"/>
      <c r="Y859" s="16"/>
      <c r="Z859" s="16"/>
      <c r="AA859" s="16"/>
      <c r="AB859" s="16"/>
      <c r="AC859" s="16"/>
      <c r="AD859" s="16"/>
    </row>
    <row r="860" spans="2:30" ht="15.75" customHeight="1">
      <c r="B860" s="14"/>
      <c r="C860" s="14"/>
      <c r="D860" s="14"/>
      <c r="E860" s="14"/>
      <c r="F860" s="14"/>
      <c r="G860" s="14"/>
      <c r="H860" s="14"/>
      <c r="I860" s="14"/>
      <c r="J860" s="14"/>
      <c r="K860" s="14"/>
      <c r="L860" s="14"/>
      <c r="M860" s="14"/>
      <c r="N860" s="14"/>
      <c r="O860" s="16"/>
      <c r="P860" s="16"/>
      <c r="Q860" s="16"/>
      <c r="R860" s="16"/>
      <c r="S860" s="16"/>
      <c r="T860" s="16"/>
      <c r="U860" s="16"/>
      <c r="V860" s="16"/>
      <c r="W860" s="16"/>
      <c r="X860" s="16"/>
      <c r="Y860" s="16"/>
      <c r="Z860" s="16"/>
      <c r="AA860" s="16"/>
      <c r="AB860" s="16"/>
      <c r="AC860" s="16"/>
      <c r="AD860" s="16"/>
    </row>
    <row r="861" spans="2:30" ht="15.75" customHeight="1">
      <c r="B861" s="14"/>
      <c r="C861" s="14"/>
      <c r="D861" s="14"/>
      <c r="E861" s="14"/>
      <c r="F861" s="14"/>
      <c r="G861" s="14"/>
      <c r="H861" s="14"/>
      <c r="I861" s="14"/>
      <c r="J861" s="14"/>
      <c r="K861" s="14"/>
      <c r="L861" s="14"/>
      <c r="M861" s="14"/>
      <c r="N861" s="14"/>
      <c r="O861" s="16"/>
      <c r="P861" s="16"/>
      <c r="Q861" s="16"/>
      <c r="R861" s="16"/>
      <c r="S861" s="16"/>
      <c r="T861" s="16"/>
      <c r="U861" s="16"/>
      <c r="V861" s="16"/>
      <c r="W861" s="16"/>
      <c r="X861" s="16"/>
      <c r="Y861" s="16"/>
      <c r="Z861" s="16"/>
      <c r="AA861" s="16"/>
      <c r="AB861" s="16"/>
      <c r="AC861" s="16"/>
      <c r="AD861" s="16"/>
    </row>
    <row r="862" spans="2:30" ht="15.75" customHeight="1">
      <c r="B862" s="14"/>
      <c r="C862" s="14"/>
      <c r="D862" s="14"/>
      <c r="E862" s="14"/>
      <c r="F862" s="14"/>
      <c r="G862" s="14"/>
      <c r="H862" s="14"/>
      <c r="I862" s="14"/>
      <c r="J862" s="14"/>
      <c r="K862" s="14"/>
      <c r="L862" s="14"/>
      <c r="M862" s="14"/>
      <c r="N862" s="14"/>
      <c r="O862" s="16"/>
      <c r="P862" s="16"/>
      <c r="Q862" s="16"/>
      <c r="R862" s="16"/>
      <c r="S862" s="16"/>
      <c r="T862" s="16"/>
      <c r="U862" s="16"/>
      <c r="V862" s="16"/>
      <c r="W862" s="16"/>
      <c r="X862" s="16"/>
      <c r="Y862" s="16"/>
      <c r="Z862" s="16"/>
      <c r="AA862" s="16"/>
      <c r="AB862" s="16"/>
      <c r="AC862" s="16"/>
      <c r="AD862" s="16"/>
    </row>
    <row r="863" spans="2:30" ht="15.75" customHeight="1">
      <c r="B863" s="14"/>
      <c r="C863" s="14"/>
      <c r="D863" s="14"/>
      <c r="E863" s="14"/>
      <c r="F863" s="14"/>
      <c r="G863" s="14"/>
      <c r="H863" s="14"/>
      <c r="I863" s="14"/>
      <c r="J863" s="14"/>
      <c r="K863" s="14"/>
      <c r="L863" s="14"/>
      <c r="M863" s="14"/>
      <c r="N863" s="14"/>
      <c r="O863" s="16"/>
      <c r="P863" s="16"/>
      <c r="Q863" s="16"/>
      <c r="R863" s="16"/>
      <c r="S863" s="16"/>
      <c r="T863" s="16"/>
      <c r="U863" s="16"/>
      <c r="V863" s="16"/>
      <c r="W863" s="16"/>
      <c r="X863" s="16"/>
      <c r="Y863" s="16"/>
      <c r="Z863" s="16"/>
      <c r="AA863" s="16"/>
      <c r="AB863" s="16"/>
      <c r="AC863" s="16"/>
      <c r="AD863" s="16"/>
    </row>
    <row r="864" spans="2:30" ht="15.75" customHeight="1">
      <c r="B864" s="14"/>
      <c r="C864" s="14"/>
      <c r="D864" s="14"/>
      <c r="E864" s="14"/>
      <c r="F864" s="14"/>
      <c r="G864" s="14"/>
      <c r="H864" s="14"/>
      <c r="I864" s="14"/>
      <c r="J864" s="14"/>
      <c r="K864" s="14"/>
      <c r="L864" s="14"/>
      <c r="M864" s="14"/>
      <c r="N864" s="14"/>
      <c r="O864" s="16"/>
      <c r="P864" s="16"/>
      <c r="Q864" s="16"/>
      <c r="R864" s="16"/>
      <c r="S864" s="16"/>
      <c r="T864" s="16"/>
      <c r="U864" s="16"/>
      <c r="V864" s="16"/>
      <c r="W864" s="16"/>
      <c r="X864" s="16"/>
      <c r="Y864" s="16"/>
      <c r="Z864" s="16"/>
      <c r="AA864" s="16"/>
      <c r="AB864" s="16"/>
      <c r="AC864" s="16"/>
      <c r="AD864" s="16"/>
    </row>
    <row r="865" spans="2:30" ht="15.75" customHeight="1">
      <c r="B865" s="14"/>
      <c r="C865" s="14"/>
      <c r="D865" s="14"/>
      <c r="E865" s="14"/>
      <c r="F865" s="14"/>
      <c r="G865" s="14"/>
      <c r="H865" s="14"/>
      <c r="I865" s="14"/>
      <c r="J865" s="14"/>
      <c r="K865" s="14"/>
      <c r="L865" s="14"/>
      <c r="M865" s="14"/>
      <c r="N865" s="14"/>
      <c r="O865" s="16"/>
      <c r="P865" s="16"/>
      <c r="Q865" s="16"/>
      <c r="R865" s="16"/>
      <c r="S865" s="16"/>
      <c r="T865" s="16"/>
      <c r="U865" s="16"/>
      <c r="V865" s="16"/>
      <c r="W865" s="16"/>
      <c r="X865" s="16"/>
      <c r="Y865" s="16"/>
      <c r="Z865" s="16"/>
      <c r="AA865" s="16"/>
      <c r="AB865" s="16"/>
      <c r="AC865" s="16"/>
      <c r="AD865" s="16"/>
    </row>
    <row r="866" spans="2:30" ht="15.75" customHeight="1">
      <c r="B866" s="14"/>
      <c r="C866" s="14"/>
      <c r="D866" s="14"/>
      <c r="E866" s="14"/>
      <c r="F866" s="14"/>
      <c r="G866" s="14"/>
      <c r="H866" s="14"/>
      <c r="I866" s="14"/>
      <c r="J866" s="14"/>
      <c r="K866" s="14"/>
      <c r="L866" s="14"/>
      <c r="M866" s="14"/>
      <c r="N866" s="14"/>
      <c r="O866" s="16"/>
      <c r="P866" s="16"/>
      <c r="Q866" s="16"/>
      <c r="R866" s="16"/>
      <c r="S866" s="16"/>
      <c r="T866" s="16"/>
      <c r="U866" s="16"/>
      <c r="V866" s="16"/>
      <c r="W866" s="16"/>
      <c r="X866" s="16"/>
      <c r="Y866" s="16"/>
      <c r="Z866" s="16"/>
      <c r="AA866" s="16"/>
      <c r="AB866" s="16"/>
      <c r="AC866" s="16"/>
      <c r="AD866" s="16"/>
    </row>
    <row r="867" spans="2:30" ht="15.75" customHeight="1">
      <c r="B867" s="14"/>
      <c r="C867" s="14"/>
      <c r="D867" s="14"/>
      <c r="E867" s="14"/>
      <c r="F867" s="14"/>
      <c r="G867" s="14"/>
      <c r="H867" s="14"/>
      <c r="I867" s="14"/>
      <c r="J867" s="14"/>
      <c r="K867" s="14"/>
      <c r="L867" s="14"/>
      <c r="M867" s="14"/>
      <c r="N867" s="14"/>
      <c r="O867" s="16"/>
      <c r="P867" s="16"/>
      <c r="Q867" s="16"/>
      <c r="R867" s="16"/>
      <c r="S867" s="16"/>
      <c r="T867" s="16"/>
      <c r="U867" s="16"/>
      <c r="V867" s="16"/>
      <c r="W867" s="16"/>
      <c r="X867" s="16"/>
      <c r="Y867" s="16"/>
      <c r="Z867" s="16"/>
      <c r="AA867" s="16"/>
      <c r="AB867" s="16"/>
      <c r="AC867" s="16"/>
      <c r="AD867" s="16"/>
    </row>
    <row r="868" spans="2:30" ht="15.75" customHeight="1">
      <c r="B868" s="14"/>
      <c r="C868" s="14"/>
      <c r="D868" s="14"/>
      <c r="E868" s="14"/>
      <c r="F868" s="14"/>
      <c r="G868" s="14"/>
      <c r="H868" s="14"/>
      <c r="I868" s="14"/>
      <c r="J868" s="14"/>
      <c r="K868" s="14"/>
      <c r="L868" s="14"/>
      <c r="M868" s="14"/>
      <c r="N868" s="14"/>
      <c r="O868" s="16"/>
      <c r="P868" s="16"/>
      <c r="Q868" s="16"/>
      <c r="R868" s="16"/>
      <c r="S868" s="16"/>
      <c r="T868" s="16"/>
      <c r="U868" s="16"/>
      <c r="V868" s="16"/>
      <c r="W868" s="16"/>
      <c r="X868" s="16"/>
      <c r="Y868" s="16"/>
      <c r="Z868" s="16"/>
      <c r="AA868" s="16"/>
      <c r="AB868" s="16"/>
      <c r="AC868" s="16"/>
      <c r="AD868" s="16"/>
    </row>
    <row r="869" spans="2:30" ht="15.75" customHeight="1">
      <c r="B869" s="14"/>
      <c r="C869" s="14"/>
      <c r="D869" s="14"/>
      <c r="E869" s="14"/>
      <c r="F869" s="14"/>
      <c r="G869" s="14"/>
      <c r="H869" s="14"/>
      <c r="I869" s="14"/>
      <c r="J869" s="14"/>
      <c r="K869" s="14"/>
      <c r="L869" s="14"/>
      <c r="M869" s="14"/>
      <c r="N869" s="14"/>
      <c r="O869" s="16"/>
      <c r="P869" s="16"/>
      <c r="Q869" s="16"/>
      <c r="R869" s="16"/>
      <c r="S869" s="16"/>
      <c r="T869" s="16"/>
      <c r="U869" s="16"/>
      <c r="V869" s="16"/>
      <c r="W869" s="16"/>
      <c r="X869" s="16"/>
      <c r="Y869" s="16"/>
      <c r="Z869" s="16"/>
      <c r="AA869" s="16"/>
      <c r="AB869" s="16"/>
      <c r="AC869" s="16"/>
      <c r="AD869" s="16"/>
    </row>
    <row r="870" spans="2:30" ht="15.75" customHeight="1">
      <c r="B870" s="14"/>
      <c r="C870" s="14"/>
      <c r="D870" s="14"/>
      <c r="E870" s="14"/>
      <c r="F870" s="14"/>
      <c r="G870" s="14"/>
      <c r="H870" s="14"/>
      <c r="I870" s="14"/>
      <c r="J870" s="14"/>
      <c r="K870" s="14"/>
      <c r="L870" s="14"/>
      <c r="M870" s="14"/>
      <c r="N870" s="14"/>
      <c r="O870" s="16"/>
      <c r="P870" s="16"/>
      <c r="Q870" s="16"/>
      <c r="R870" s="16"/>
      <c r="S870" s="16"/>
      <c r="T870" s="16"/>
      <c r="U870" s="16"/>
      <c r="V870" s="16"/>
      <c r="W870" s="16"/>
      <c r="X870" s="16"/>
      <c r="Y870" s="16"/>
      <c r="Z870" s="16"/>
      <c r="AA870" s="16"/>
      <c r="AB870" s="16"/>
      <c r="AC870" s="16"/>
      <c r="AD870" s="16"/>
    </row>
    <row r="871" spans="2:30" ht="15.75" customHeight="1">
      <c r="B871" s="14"/>
      <c r="C871" s="14"/>
      <c r="D871" s="14"/>
      <c r="E871" s="14"/>
      <c r="F871" s="14"/>
      <c r="G871" s="14"/>
      <c r="H871" s="14"/>
      <c r="I871" s="14"/>
      <c r="J871" s="14"/>
      <c r="K871" s="14"/>
      <c r="L871" s="14"/>
      <c r="M871" s="14"/>
      <c r="N871" s="14"/>
      <c r="O871" s="16"/>
      <c r="P871" s="16"/>
      <c r="Q871" s="16"/>
      <c r="R871" s="16"/>
      <c r="S871" s="16"/>
      <c r="T871" s="16"/>
      <c r="U871" s="16"/>
      <c r="V871" s="16"/>
      <c r="W871" s="16"/>
      <c r="X871" s="16"/>
      <c r="Y871" s="16"/>
      <c r="Z871" s="16"/>
      <c r="AA871" s="16"/>
      <c r="AB871" s="16"/>
      <c r="AC871" s="16"/>
      <c r="AD871" s="16"/>
    </row>
    <row r="872" spans="2:30" ht="15.75" customHeight="1">
      <c r="B872" s="14"/>
      <c r="C872" s="14"/>
      <c r="D872" s="14"/>
      <c r="E872" s="14"/>
      <c r="F872" s="14"/>
      <c r="G872" s="14"/>
      <c r="H872" s="14"/>
      <c r="I872" s="14"/>
      <c r="J872" s="14"/>
      <c r="K872" s="14"/>
      <c r="L872" s="14"/>
      <c r="M872" s="14"/>
      <c r="N872" s="14"/>
      <c r="O872" s="16"/>
      <c r="P872" s="16"/>
      <c r="Q872" s="16"/>
      <c r="R872" s="16"/>
      <c r="S872" s="16"/>
      <c r="T872" s="16"/>
      <c r="U872" s="16"/>
      <c r="V872" s="16"/>
      <c r="W872" s="16"/>
      <c r="X872" s="16"/>
      <c r="Y872" s="16"/>
      <c r="Z872" s="16"/>
      <c r="AA872" s="16"/>
      <c r="AB872" s="16"/>
      <c r="AC872" s="16"/>
      <c r="AD872" s="16"/>
    </row>
    <row r="873" spans="2:30" ht="15.75" customHeight="1">
      <c r="B873" s="14"/>
      <c r="C873" s="14"/>
      <c r="D873" s="14"/>
      <c r="E873" s="14"/>
      <c r="F873" s="14"/>
      <c r="G873" s="14"/>
      <c r="H873" s="14"/>
      <c r="I873" s="14"/>
      <c r="J873" s="14"/>
      <c r="K873" s="14"/>
      <c r="L873" s="14"/>
      <c r="M873" s="14"/>
      <c r="N873" s="14"/>
      <c r="O873" s="16"/>
      <c r="P873" s="16"/>
      <c r="Q873" s="16"/>
      <c r="R873" s="16"/>
      <c r="S873" s="16"/>
      <c r="T873" s="16"/>
      <c r="U873" s="16"/>
      <c r="V873" s="16"/>
      <c r="W873" s="16"/>
      <c r="X873" s="16"/>
      <c r="Y873" s="16"/>
      <c r="Z873" s="16"/>
      <c r="AA873" s="16"/>
      <c r="AB873" s="16"/>
      <c r="AC873" s="16"/>
      <c r="AD873" s="16"/>
    </row>
    <row r="874" spans="2:30" ht="15.75" customHeight="1">
      <c r="B874" s="14"/>
      <c r="C874" s="14"/>
      <c r="D874" s="14"/>
      <c r="E874" s="14"/>
      <c r="F874" s="14"/>
      <c r="G874" s="14"/>
      <c r="H874" s="14"/>
      <c r="I874" s="14"/>
      <c r="J874" s="14"/>
      <c r="K874" s="14"/>
      <c r="L874" s="14"/>
      <c r="M874" s="14"/>
      <c r="N874" s="14"/>
      <c r="O874" s="16"/>
      <c r="P874" s="16"/>
      <c r="Q874" s="16"/>
      <c r="R874" s="16"/>
      <c r="S874" s="16"/>
      <c r="T874" s="16"/>
      <c r="U874" s="16"/>
      <c r="V874" s="16"/>
      <c r="W874" s="16"/>
      <c r="X874" s="16"/>
      <c r="Y874" s="16"/>
      <c r="Z874" s="16"/>
      <c r="AA874" s="16"/>
      <c r="AB874" s="16"/>
      <c r="AC874" s="16"/>
      <c r="AD874" s="16"/>
    </row>
    <row r="875" spans="2:30" ht="15.75" customHeight="1">
      <c r="B875" s="14"/>
      <c r="C875" s="14"/>
      <c r="D875" s="14"/>
      <c r="E875" s="14"/>
      <c r="F875" s="14"/>
      <c r="G875" s="14"/>
      <c r="H875" s="14"/>
      <c r="I875" s="14"/>
      <c r="J875" s="14"/>
      <c r="K875" s="14"/>
      <c r="L875" s="14"/>
      <c r="M875" s="14"/>
      <c r="N875" s="14"/>
      <c r="O875" s="16"/>
      <c r="P875" s="16"/>
      <c r="Q875" s="16"/>
      <c r="R875" s="16"/>
      <c r="S875" s="16"/>
      <c r="T875" s="16"/>
      <c r="U875" s="16"/>
      <c r="V875" s="16"/>
      <c r="W875" s="16"/>
      <c r="X875" s="16"/>
      <c r="Y875" s="16"/>
      <c r="Z875" s="16"/>
      <c r="AA875" s="16"/>
      <c r="AB875" s="16"/>
      <c r="AC875" s="16"/>
      <c r="AD875" s="16"/>
    </row>
    <row r="876" spans="2:30" ht="15.75" customHeight="1">
      <c r="B876" s="14"/>
      <c r="C876" s="14"/>
      <c r="D876" s="14"/>
      <c r="E876" s="14"/>
      <c r="F876" s="14"/>
      <c r="G876" s="14"/>
      <c r="H876" s="14"/>
      <c r="I876" s="14"/>
      <c r="J876" s="14"/>
      <c r="K876" s="14"/>
      <c r="L876" s="14"/>
      <c r="M876" s="14"/>
      <c r="N876" s="14"/>
      <c r="O876" s="16"/>
      <c r="P876" s="16"/>
      <c r="Q876" s="16"/>
      <c r="R876" s="16"/>
      <c r="S876" s="16"/>
      <c r="T876" s="16"/>
      <c r="U876" s="16"/>
      <c r="V876" s="16"/>
      <c r="W876" s="16"/>
      <c r="X876" s="16"/>
      <c r="Y876" s="16"/>
      <c r="Z876" s="16"/>
      <c r="AA876" s="16"/>
      <c r="AB876" s="16"/>
      <c r="AC876" s="16"/>
      <c r="AD876" s="16"/>
    </row>
    <row r="877" spans="2:30" ht="15.75" customHeight="1">
      <c r="B877" s="14"/>
      <c r="C877" s="14"/>
      <c r="D877" s="14"/>
      <c r="E877" s="14"/>
      <c r="F877" s="14"/>
      <c r="G877" s="14"/>
      <c r="H877" s="14"/>
      <c r="I877" s="14"/>
      <c r="J877" s="14"/>
      <c r="K877" s="14"/>
      <c r="L877" s="14"/>
      <c r="M877" s="14"/>
      <c r="N877" s="14"/>
      <c r="O877" s="16"/>
      <c r="P877" s="16"/>
      <c r="Q877" s="16"/>
      <c r="R877" s="16"/>
      <c r="S877" s="16"/>
      <c r="T877" s="16"/>
      <c r="U877" s="16"/>
      <c r="V877" s="16"/>
      <c r="W877" s="16"/>
      <c r="X877" s="16"/>
      <c r="Y877" s="16"/>
      <c r="Z877" s="16"/>
      <c r="AA877" s="16"/>
      <c r="AB877" s="16"/>
      <c r="AC877" s="16"/>
      <c r="AD877" s="16"/>
    </row>
    <row r="878" spans="2:30" ht="15.75" customHeight="1">
      <c r="B878" s="14"/>
      <c r="C878" s="14"/>
      <c r="D878" s="14"/>
      <c r="E878" s="14"/>
      <c r="F878" s="14"/>
      <c r="G878" s="14"/>
      <c r="H878" s="14"/>
      <c r="I878" s="14"/>
      <c r="J878" s="14"/>
      <c r="K878" s="14"/>
      <c r="L878" s="14"/>
      <c r="M878" s="14"/>
      <c r="N878" s="14"/>
      <c r="O878" s="16"/>
      <c r="P878" s="16"/>
      <c r="Q878" s="16"/>
      <c r="R878" s="16"/>
      <c r="S878" s="16"/>
      <c r="T878" s="16"/>
      <c r="U878" s="16"/>
      <c r="V878" s="16"/>
      <c r="W878" s="16"/>
      <c r="X878" s="16"/>
      <c r="Y878" s="16"/>
      <c r="Z878" s="16"/>
      <c r="AA878" s="16"/>
      <c r="AB878" s="16"/>
      <c r="AC878" s="16"/>
      <c r="AD878" s="16"/>
    </row>
    <row r="879" spans="2:30" ht="15.75" customHeight="1">
      <c r="B879" s="14"/>
      <c r="C879" s="14"/>
      <c r="D879" s="14"/>
      <c r="E879" s="14"/>
      <c r="F879" s="14"/>
      <c r="G879" s="14"/>
      <c r="H879" s="14"/>
      <c r="I879" s="14"/>
      <c r="J879" s="14"/>
      <c r="K879" s="14"/>
      <c r="L879" s="14"/>
      <c r="M879" s="14"/>
      <c r="N879" s="14"/>
      <c r="O879" s="16"/>
      <c r="P879" s="16"/>
      <c r="Q879" s="16"/>
      <c r="R879" s="16"/>
      <c r="S879" s="16"/>
      <c r="T879" s="16"/>
      <c r="U879" s="16"/>
      <c r="V879" s="16"/>
      <c r="W879" s="16"/>
      <c r="X879" s="16"/>
      <c r="Y879" s="16"/>
      <c r="Z879" s="16"/>
      <c r="AA879" s="16"/>
      <c r="AB879" s="16"/>
      <c r="AC879" s="16"/>
      <c r="AD879" s="16"/>
    </row>
    <row r="880" spans="2:30" ht="15.75" customHeight="1">
      <c r="B880" s="14"/>
      <c r="C880" s="14"/>
      <c r="D880" s="14"/>
      <c r="E880" s="14"/>
      <c r="F880" s="14"/>
      <c r="G880" s="14"/>
      <c r="H880" s="14"/>
      <c r="I880" s="14"/>
      <c r="J880" s="14"/>
      <c r="K880" s="14"/>
      <c r="L880" s="14"/>
      <c r="M880" s="14"/>
      <c r="N880" s="14"/>
      <c r="O880" s="16"/>
      <c r="P880" s="16"/>
      <c r="Q880" s="16"/>
      <c r="R880" s="16"/>
      <c r="S880" s="16"/>
      <c r="T880" s="16"/>
      <c r="U880" s="16"/>
      <c r="V880" s="16"/>
      <c r="W880" s="16"/>
      <c r="X880" s="16"/>
      <c r="Y880" s="16"/>
      <c r="Z880" s="16"/>
      <c r="AA880" s="16"/>
      <c r="AB880" s="16"/>
      <c r="AC880" s="16"/>
      <c r="AD880" s="16"/>
    </row>
    <row r="881" spans="2:30" ht="15.75" customHeight="1">
      <c r="B881" s="14"/>
      <c r="C881" s="14"/>
      <c r="D881" s="14"/>
      <c r="E881" s="14"/>
      <c r="F881" s="14"/>
      <c r="G881" s="14"/>
      <c r="H881" s="14"/>
      <c r="I881" s="14"/>
      <c r="J881" s="14"/>
      <c r="K881" s="14"/>
      <c r="L881" s="14"/>
      <c r="M881" s="14"/>
      <c r="N881" s="14"/>
      <c r="O881" s="16"/>
      <c r="P881" s="16"/>
      <c r="Q881" s="16"/>
      <c r="R881" s="16"/>
      <c r="S881" s="16"/>
      <c r="T881" s="16"/>
      <c r="U881" s="16"/>
      <c r="V881" s="16"/>
      <c r="W881" s="16"/>
      <c r="X881" s="16"/>
      <c r="Y881" s="16"/>
      <c r="Z881" s="16"/>
      <c r="AA881" s="16"/>
      <c r="AB881" s="16"/>
      <c r="AC881" s="16"/>
      <c r="AD881" s="16"/>
    </row>
    <row r="882" spans="2:30" ht="15.75" customHeight="1">
      <c r="B882" s="14"/>
      <c r="C882" s="14"/>
      <c r="D882" s="14"/>
      <c r="E882" s="14"/>
      <c r="F882" s="14"/>
      <c r="G882" s="14"/>
      <c r="H882" s="14"/>
      <c r="I882" s="14"/>
      <c r="J882" s="14"/>
      <c r="K882" s="14"/>
      <c r="L882" s="14"/>
      <c r="M882" s="14"/>
      <c r="N882" s="14"/>
      <c r="O882" s="16"/>
      <c r="P882" s="16"/>
      <c r="Q882" s="16"/>
      <c r="R882" s="16"/>
      <c r="S882" s="16"/>
      <c r="T882" s="16"/>
      <c r="U882" s="16"/>
      <c r="V882" s="16"/>
      <c r="W882" s="16"/>
      <c r="X882" s="16"/>
      <c r="Y882" s="16"/>
      <c r="Z882" s="16"/>
      <c r="AA882" s="16"/>
      <c r="AB882" s="16"/>
      <c r="AC882" s="16"/>
      <c r="AD882" s="16"/>
    </row>
    <row r="883" spans="2:30" ht="15.75" customHeight="1">
      <c r="B883" s="14"/>
      <c r="C883" s="14"/>
      <c r="D883" s="14"/>
      <c r="E883" s="14"/>
      <c r="F883" s="14"/>
      <c r="G883" s="14"/>
      <c r="H883" s="14"/>
      <c r="I883" s="14"/>
      <c r="J883" s="14"/>
      <c r="K883" s="14"/>
      <c r="L883" s="14"/>
      <c r="M883" s="14"/>
      <c r="N883" s="14"/>
      <c r="O883" s="16"/>
      <c r="P883" s="16"/>
      <c r="Q883" s="16"/>
      <c r="R883" s="16"/>
      <c r="S883" s="16"/>
      <c r="T883" s="16"/>
      <c r="U883" s="16"/>
      <c r="V883" s="16"/>
      <c r="W883" s="16"/>
      <c r="X883" s="16"/>
      <c r="Y883" s="16"/>
      <c r="Z883" s="16"/>
      <c r="AA883" s="16"/>
      <c r="AB883" s="16"/>
      <c r="AC883" s="16"/>
      <c r="AD883" s="16"/>
    </row>
    <row r="884" spans="2:30" ht="15.75" customHeight="1">
      <c r="B884" s="14"/>
      <c r="C884" s="14"/>
      <c r="D884" s="14"/>
      <c r="E884" s="14"/>
      <c r="F884" s="14"/>
      <c r="G884" s="14"/>
      <c r="H884" s="14"/>
      <c r="I884" s="14"/>
      <c r="J884" s="14"/>
      <c r="K884" s="14"/>
      <c r="L884" s="14"/>
      <c r="M884" s="14"/>
      <c r="N884" s="14"/>
      <c r="O884" s="16"/>
      <c r="P884" s="16"/>
      <c r="Q884" s="16"/>
      <c r="R884" s="16"/>
      <c r="S884" s="16"/>
      <c r="T884" s="16"/>
      <c r="U884" s="16"/>
      <c r="V884" s="16"/>
      <c r="W884" s="16"/>
      <c r="X884" s="16"/>
      <c r="Y884" s="16"/>
      <c r="Z884" s="16"/>
      <c r="AA884" s="16"/>
      <c r="AB884" s="16"/>
      <c r="AC884" s="16"/>
      <c r="AD884" s="16"/>
    </row>
    <row r="885" spans="2:30" ht="15.75" customHeight="1">
      <c r="B885" s="14"/>
      <c r="C885" s="14"/>
      <c r="D885" s="14"/>
      <c r="E885" s="14"/>
      <c r="F885" s="14"/>
      <c r="G885" s="14"/>
      <c r="H885" s="14"/>
      <c r="I885" s="14"/>
      <c r="J885" s="14"/>
      <c r="K885" s="14"/>
      <c r="L885" s="14"/>
      <c r="M885" s="14"/>
      <c r="N885" s="14"/>
      <c r="O885" s="16"/>
      <c r="P885" s="16"/>
      <c r="Q885" s="16"/>
      <c r="R885" s="16"/>
      <c r="S885" s="16"/>
      <c r="T885" s="16"/>
      <c r="U885" s="16"/>
      <c r="V885" s="16"/>
      <c r="W885" s="16"/>
      <c r="X885" s="16"/>
      <c r="Y885" s="16"/>
      <c r="Z885" s="16"/>
      <c r="AA885" s="16"/>
      <c r="AB885" s="16"/>
      <c r="AC885" s="16"/>
      <c r="AD885" s="16"/>
    </row>
    <row r="886" spans="2:30" ht="15.75" customHeight="1">
      <c r="B886" s="14"/>
      <c r="C886" s="14"/>
      <c r="D886" s="14"/>
      <c r="E886" s="14"/>
      <c r="F886" s="14"/>
      <c r="G886" s="14"/>
      <c r="H886" s="14"/>
      <c r="I886" s="14"/>
      <c r="J886" s="14"/>
      <c r="K886" s="14"/>
      <c r="L886" s="14"/>
      <c r="M886" s="14"/>
      <c r="N886" s="14"/>
      <c r="O886" s="16"/>
      <c r="P886" s="16"/>
      <c r="Q886" s="16"/>
      <c r="R886" s="16"/>
      <c r="S886" s="16"/>
      <c r="T886" s="16"/>
      <c r="U886" s="16"/>
      <c r="V886" s="16"/>
      <c r="W886" s="16"/>
      <c r="X886" s="16"/>
      <c r="Y886" s="16"/>
      <c r="Z886" s="16"/>
      <c r="AA886" s="16"/>
      <c r="AB886" s="16"/>
      <c r="AC886" s="16"/>
      <c r="AD886" s="16"/>
    </row>
    <row r="887" spans="2:30" ht="15.75" customHeight="1">
      <c r="B887" s="14"/>
      <c r="C887" s="14"/>
      <c r="D887" s="14"/>
      <c r="E887" s="14"/>
      <c r="F887" s="14"/>
      <c r="G887" s="14"/>
      <c r="H887" s="14"/>
      <c r="I887" s="14"/>
      <c r="J887" s="14"/>
      <c r="K887" s="14"/>
      <c r="L887" s="14"/>
      <c r="M887" s="14"/>
      <c r="N887" s="14"/>
      <c r="O887" s="16"/>
      <c r="P887" s="16"/>
      <c r="Q887" s="16"/>
      <c r="R887" s="16"/>
      <c r="S887" s="16"/>
      <c r="T887" s="16"/>
      <c r="U887" s="16"/>
      <c r="V887" s="16"/>
      <c r="W887" s="16"/>
      <c r="X887" s="16"/>
      <c r="Y887" s="16"/>
      <c r="Z887" s="16"/>
      <c r="AA887" s="16"/>
      <c r="AB887" s="16"/>
      <c r="AC887" s="16"/>
      <c r="AD887" s="16"/>
    </row>
    <row r="888" spans="2:30" ht="15.75" customHeight="1">
      <c r="B888" s="14"/>
      <c r="C888" s="14"/>
      <c r="D888" s="14"/>
      <c r="E888" s="14"/>
      <c r="F888" s="14"/>
      <c r="G888" s="14"/>
      <c r="H888" s="14"/>
      <c r="I888" s="14"/>
      <c r="J888" s="14"/>
      <c r="K888" s="14"/>
      <c r="L888" s="14"/>
      <c r="M888" s="14"/>
      <c r="N888" s="14"/>
      <c r="O888" s="16"/>
      <c r="P888" s="16"/>
      <c r="Q888" s="16"/>
      <c r="R888" s="16"/>
      <c r="S888" s="16"/>
      <c r="T888" s="16"/>
      <c r="U888" s="16"/>
      <c r="V888" s="16"/>
      <c r="W888" s="16"/>
      <c r="X888" s="16"/>
      <c r="Y888" s="16"/>
      <c r="Z888" s="16"/>
      <c r="AA888" s="16"/>
      <c r="AB888" s="16"/>
      <c r="AC888" s="16"/>
      <c r="AD888" s="16"/>
    </row>
    <row r="889" spans="2:30" ht="15.75" customHeight="1">
      <c r="B889" s="14"/>
      <c r="C889" s="14"/>
      <c r="D889" s="14"/>
      <c r="E889" s="14"/>
      <c r="F889" s="14"/>
      <c r="G889" s="14"/>
      <c r="H889" s="14"/>
      <c r="I889" s="14"/>
      <c r="J889" s="14"/>
      <c r="K889" s="14"/>
      <c r="L889" s="14"/>
      <c r="M889" s="14"/>
      <c r="N889" s="14"/>
      <c r="O889" s="16"/>
      <c r="P889" s="16"/>
      <c r="Q889" s="16"/>
      <c r="R889" s="16"/>
      <c r="S889" s="16"/>
      <c r="T889" s="16"/>
      <c r="U889" s="16"/>
      <c r="V889" s="16"/>
      <c r="W889" s="16"/>
      <c r="X889" s="16"/>
      <c r="Y889" s="16"/>
      <c r="Z889" s="16"/>
      <c r="AA889" s="16"/>
      <c r="AB889" s="16"/>
      <c r="AC889" s="16"/>
      <c r="AD889" s="16"/>
    </row>
    <row r="890" spans="2:30" ht="15.75" customHeight="1">
      <c r="B890" s="14"/>
      <c r="C890" s="14"/>
      <c r="D890" s="14"/>
      <c r="E890" s="14"/>
      <c r="F890" s="14"/>
      <c r="G890" s="14"/>
      <c r="H890" s="14"/>
      <c r="I890" s="14"/>
      <c r="J890" s="14"/>
      <c r="K890" s="14"/>
      <c r="L890" s="14"/>
      <c r="M890" s="14"/>
      <c r="N890" s="14"/>
      <c r="O890" s="16"/>
      <c r="P890" s="16"/>
      <c r="Q890" s="16"/>
      <c r="R890" s="16"/>
      <c r="S890" s="16"/>
      <c r="T890" s="16"/>
      <c r="U890" s="16"/>
      <c r="V890" s="16"/>
      <c r="W890" s="16"/>
      <c r="X890" s="16"/>
      <c r="Y890" s="16"/>
      <c r="Z890" s="16"/>
      <c r="AA890" s="16"/>
      <c r="AB890" s="16"/>
      <c r="AC890" s="16"/>
      <c r="AD890" s="16"/>
    </row>
    <row r="891" spans="2:30" ht="15.75" customHeight="1">
      <c r="B891" s="14"/>
      <c r="C891" s="14"/>
      <c r="D891" s="14"/>
      <c r="E891" s="14"/>
      <c r="F891" s="14"/>
      <c r="G891" s="14"/>
      <c r="H891" s="14"/>
      <c r="I891" s="14"/>
      <c r="J891" s="14"/>
      <c r="K891" s="14"/>
      <c r="L891" s="14"/>
      <c r="M891" s="14"/>
      <c r="N891" s="14"/>
      <c r="O891" s="16"/>
      <c r="P891" s="16"/>
      <c r="Q891" s="16"/>
      <c r="R891" s="16"/>
      <c r="S891" s="16"/>
      <c r="T891" s="16"/>
      <c r="U891" s="16"/>
      <c r="V891" s="16"/>
      <c r="W891" s="16"/>
      <c r="X891" s="16"/>
      <c r="Y891" s="16"/>
      <c r="Z891" s="16"/>
      <c r="AA891" s="16"/>
      <c r="AB891" s="16"/>
      <c r="AC891" s="16"/>
      <c r="AD891" s="16"/>
    </row>
    <row r="892" spans="2:30" ht="15.75" customHeight="1">
      <c r="B892" s="14"/>
      <c r="C892" s="14"/>
      <c r="D892" s="14"/>
      <c r="E892" s="14"/>
      <c r="F892" s="14"/>
      <c r="G892" s="14"/>
      <c r="H892" s="14"/>
      <c r="I892" s="14"/>
      <c r="J892" s="14"/>
      <c r="K892" s="14"/>
      <c r="L892" s="14"/>
      <c r="M892" s="14"/>
      <c r="N892" s="14"/>
      <c r="O892" s="16"/>
      <c r="P892" s="16"/>
      <c r="Q892" s="16"/>
      <c r="R892" s="16"/>
      <c r="S892" s="16"/>
      <c r="T892" s="16"/>
      <c r="U892" s="16"/>
      <c r="V892" s="16"/>
      <c r="W892" s="16"/>
      <c r="X892" s="16"/>
      <c r="Y892" s="16"/>
      <c r="Z892" s="16"/>
      <c r="AA892" s="16"/>
      <c r="AB892" s="16"/>
      <c r="AC892" s="16"/>
      <c r="AD892" s="16"/>
    </row>
    <row r="893" spans="2:30" ht="15.75" customHeight="1">
      <c r="B893" s="14"/>
      <c r="C893" s="14"/>
      <c r="D893" s="14"/>
      <c r="E893" s="14"/>
      <c r="F893" s="14"/>
      <c r="G893" s="14"/>
      <c r="H893" s="14"/>
      <c r="I893" s="14"/>
      <c r="J893" s="14"/>
      <c r="K893" s="14"/>
      <c r="L893" s="14"/>
      <c r="M893" s="14"/>
      <c r="N893" s="14"/>
      <c r="O893" s="16"/>
      <c r="P893" s="16"/>
      <c r="Q893" s="16"/>
      <c r="R893" s="16"/>
      <c r="S893" s="16"/>
      <c r="T893" s="16"/>
      <c r="U893" s="16"/>
      <c r="V893" s="16"/>
      <c r="W893" s="16"/>
      <c r="X893" s="16"/>
      <c r="Y893" s="16"/>
      <c r="Z893" s="16"/>
      <c r="AA893" s="16"/>
      <c r="AB893" s="16"/>
      <c r="AC893" s="16"/>
      <c r="AD893" s="16"/>
    </row>
    <row r="894" spans="2:30" ht="15.75" customHeight="1">
      <c r="B894" s="14"/>
      <c r="C894" s="14"/>
      <c r="D894" s="14"/>
      <c r="E894" s="14"/>
      <c r="F894" s="14"/>
      <c r="G894" s="14"/>
      <c r="H894" s="14"/>
      <c r="I894" s="14"/>
      <c r="J894" s="14"/>
      <c r="K894" s="14"/>
      <c r="L894" s="14"/>
      <c r="M894" s="14"/>
      <c r="N894" s="14"/>
      <c r="O894" s="16"/>
      <c r="P894" s="16"/>
      <c r="Q894" s="16"/>
      <c r="R894" s="16"/>
      <c r="S894" s="16"/>
      <c r="T894" s="16"/>
      <c r="U894" s="16"/>
      <c r="V894" s="16"/>
      <c r="W894" s="16"/>
      <c r="X894" s="16"/>
      <c r="Y894" s="16"/>
      <c r="Z894" s="16"/>
      <c r="AA894" s="16"/>
      <c r="AB894" s="16"/>
      <c r="AC894" s="16"/>
      <c r="AD894" s="16"/>
    </row>
    <row r="895" spans="2:30" ht="15.75" customHeight="1">
      <c r="B895" s="14"/>
      <c r="C895" s="14"/>
      <c r="D895" s="14"/>
      <c r="E895" s="14"/>
      <c r="F895" s="14"/>
      <c r="G895" s="14"/>
      <c r="H895" s="14"/>
      <c r="I895" s="14"/>
      <c r="J895" s="14"/>
      <c r="K895" s="14"/>
      <c r="L895" s="14"/>
      <c r="M895" s="14"/>
      <c r="N895" s="14"/>
      <c r="O895" s="16"/>
      <c r="P895" s="16"/>
      <c r="Q895" s="16"/>
      <c r="R895" s="16"/>
      <c r="S895" s="16"/>
      <c r="T895" s="16"/>
      <c r="U895" s="16"/>
      <c r="V895" s="16"/>
      <c r="W895" s="16"/>
      <c r="X895" s="16"/>
      <c r="Y895" s="16"/>
      <c r="Z895" s="16"/>
      <c r="AA895" s="16"/>
      <c r="AB895" s="16"/>
      <c r="AC895" s="16"/>
      <c r="AD895" s="16"/>
    </row>
    <row r="896" spans="2:30" ht="15.75" customHeight="1">
      <c r="B896" s="14"/>
      <c r="C896" s="14"/>
      <c r="D896" s="14"/>
      <c r="E896" s="14"/>
      <c r="F896" s="14"/>
      <c r="G896" s="14"/>
      <c r="H896" s="14"/>
      <c r="I896" s="14"/>
      <c r="J896" s="14"/>
      <c r="K896" s="14"/>
      <c r="L896" s="14"/>
      <c r="M896" s="14"/>
      <c r="N896" s="14"/>
      <c r="O896" s="16"/>
      <c r="P896" s="16"/>
      <c r="Q896" s="16"/>
      <c r="R896" s="16"/>
      <c r="S896" s="16"/>
      <c r="T896" s="16"/>
      <c r="U896" s="16"/>
      <c r="V896" s="16"/>
      <c r="W896" s="16"/>
      <c r="X896" s="16"/>
      <c r="Y896" s="16"/>
      <c r="Z896" s="16"/>
      <c r="AA896" s="16"/>
      <c r="AB896" s="16"/>
      <c r="AC896" s="16"/>
      <c r="AD896" s="16"/>
    </row>
    <row r="897" spans="2:30" ht="15.75" customHeight="1">
      <c r="B897" s="14"/>
      <c r="C897" s="14"/>
      <c r="D897" s="14"/>
      <c r="E897" s="14"/>
      <c r="F897" s="14"/>
      <c r="G897" s="14"/>
      <c r="H897" s="14"/>
      <c r="I897" s="14"/>
      <c r="J897" s="14"/>
      <c r="K897" s="14"/>
      <c r="L897" s="14"/>
      <c r="M897" s="14"/>
      <c r="N897" s="14"/>
      <c r="O897" s="16"/>
      <c r="P897" s="16"/>
      <c r="Q897" s="16"/>
      <c r="R897" s="16"/>
      <c r="S897" s="16"/>
      <c r="T897" s="16"/>
      <c r="U897" s="16"/>
      <c r="V897" s="16"/>
      <c r="W897" s="16"/>
      <c r="X897" s="16"/>
      <c r="Y897" s="16"/>
      <c r="Z897" s="16"/>
      <c r="AA897" s="16"/>
      <c r="AB897" s="16"/>
      <c r="AC897" s="16"/>
      <c r="AD897" s="16"/>
    </row>
    <row r="898" spans="2:30" ht="15.75" customHeight="1">
      <c r="B898" s="14"/>
      <c r="C898" s="14"/>
      <c r="D898" s="14"/>
      <c r="E898" s="14"/>
      <c r="F898" s="14"/>
      <c r="G898" s="14"/>
      <c r="H898" s="14"/>
      <c r="I898" s="14"/>
      <c r="J898" s="14"/>
      <c r="K898" s="14"/>
      <c r="L898" s="14"/>
      <c r="M898" s="14"/>
      <c r="N898" s="14"/>
      <c r="O898" s="16"/>
      <c r="P898" s="16"/>
      <c r="Q898" s="16"/>
      <c r="R898" s="16"/>
      <c r="S898" s="16"/>
      <c r="T898" s="16"/>
      <c r="U898" s="16"/>
      <c r="V898" s="16"/>
      <c r="W898" s="16"/>
      <c r="X898" s="16"/>
      <c r="Y898" s="16"/>
      <c r="Z898" s="16"/>
      <c r="AA898" s="16"/>
      <c r="AB898" s="16"/>
      <c r="AC898" s="16"/>
      <c r="AD898" s="16"/>
    </row>
    <row r="899" spans="2:30" ht="15.75" customHeight="1">
      <c r="B899" s="14"/>
      <c r="C899" s="14"/>
      <c r="D899" s="14"/>
      <c r="E899" s="14"/>
      <c r="F899" s="14"/>
      <c r="G899" s="14"/>
      <c r="H899" s="14"/>
      <c r="I899" s="14"/>
      <c r="J899" s="14"/>
      <c r="K899" s="14"/>
      <c r="L899" s="14"/>
      <c r="M899" s="14"/>
      <c r="N899" s="14"/>
      <c r="O899" s="16"/>
      <c r="P899" s="16"/>
      <c r="Q899" s="16"/>
      <c r="R899" s="16"/>
      <c r="S899" s="16"/>
      <c r="T899" s="16"/>
      <c r="U899" s="16"/>
      <c r="V899" s="16"/>
      <c r="W899" s="16"/>
      <c r="X899" s="16"/>
      <c r="Y899" s="16"/>
      <c r="Z899" s="16"/>
      <c r="AA899" s="16"/>
      <c r="AB899" s="16"/>
      <c r="AC899" s="16"/>
      <c r="AD899" s="16"/>
    </row>
    <row r="900" spans="2:30" ht="15.75" customHeight="1">
      <c r="B900" s="14"/>
      <c r="C900" s="14"/>
      <c r="D900" s="14"/>
      <c r="E900" s="14"/>
      <c r="F900" s="14"/>
      <c r="G900" s="14"/>
      <c r="H900" s="14"/>
      <c r="I900" s="14"/>
      <c r="J900" s="14"/>
      <c r="K900" s="14"/>
      <c r="L900" s="14"/>
      <c r="M900" s="14"/>
      <c r="N900" s="14"/>
      <c r="O900" s="16"/>
      <c r="P900" s="16"/>
      <c r="Q900" s="16"/>
      <c r="R900" s="16"/>
      <c r="S900" s="16"/>
      <c r="T900" s="16"/>
      <c r="U900" s="16"/>
      <c r="V900" s="16"/>
      <c r="W900" s="16"/>
      <c r="X900" s="16"/>
      <c r="Y900" s="16"/>
      <c r="Z900" s="16"/>
      <c r="AA900" s="16"/>
      <c r="AB900" s="16"/>
      <c r="AC900" s="16"/>
      <c r="AD900" s="16"/>
    </row>
    <row r="901" spans="2:30" ht="15.75" customHeight="1">
      <c r="B901" s="14"/>
      <c r="C901" s="14"/>
      <c r="D901" s="14"/>
      <c r="E901" s="14"/>
      <c r="F901" s="14"/>
      <c r="G901" s="14"/>
      <c r="H901" s="14"/>
      <c r="I901" s="14"/>
      <c r="J901" s="14"/>
      <c r="K901" s="14"/>
      <c r="L901" s="14"/>
      <c r="M901" s="14"/>
      <c r="N901" s="14"/>
      <c r="O901" s="16"/>
      <c r="P901" s="16"/>
      <c r="Q901" s="16"/>
      <c r="R901" s="16"/>
      <c r="S901" s="16"/>
      <c r="T901" s="16"/>
      <c r="U901" s="16"/>
      <c r="V901" s="16"/>
      <c r="W901" s="16"/>
      <c r="X901" s="16"/>
      <c r="Y901" s="16"/>
      <c r="Z901" s="16"/>
      <c r="AA901" s="16"/>
      <c r="AB901" s="16"/>
      <c r="AC901" s="16"/>
      <c r="AD901" s="16"/>
    </row>
    <row r="902" spans="2:30" ht="15.75" customHeight="1">
      <c r="B902" s="14"/>
      <c r="C902" s="14"/>
      <c r="D902" s="14"/>
      <c r="E902" s="14"/>
      <c r="F902" s="14"/>
      <c r="G902" s="14"/>
      <c r="H902" s="14"/>
      <c r="I902" s="14"/>
      <c r="J902" s="14"/>
      <c r="K902" s="14"/>
      <c r="L902" s="14"/>
      <c r="M902" s="14"/>
      <c r="N902" s="14"/>
      <c r="O902" s="16"/>
      <c r="P902" s="16"/>
      <c r="Q902" s="16"/>
      <c r="R902" s="16"/>
      <c r="S902" s="16"/>
      <c r="T902" s="16"/>
      <c r="U902" s="16"/>
      <c r="V902" s="16"/>
      <c r="W902" s="16"/>
      <c r="X902" s="16"/>
      <c r="Y902" s="16"/>
      <c r="Z902" s="16"/>
      <c r="AA902" s="16"/>
      <c r="AB902" s="16"/>
      <c r="AC902" s="16"/>
      <c r="AD902" s="16"/>
    </row>
    <row r="903" spans="2:30" ht="15.75" customHeight="1">
      <c r="B903" s="14"/>
      <c r="C903" s="14"/>
      <c r="D903" s="14"/>
      <c r="E903" s="14"/>
      <c r="F903" s="14"/>
      <c r="G903" s="14"/>
      <c r="H903" s="14"/>
      <c r="I903" s="14"/>
      <c r="J903" s="14"/>
      <c r="K903" s="14"/>
      <c r="L903" s="14"/>
      <c r="M903" s="14"/>
      <c r="N903" s="14"/>
      <c r="O903" s="16"/>
      <c r="P903" s="16"/>
      <c r="Q903" s="16"/>
      <c r="R903" s="16"/>
      <c r="S903" s="16"/>
      <c r="T903" s="16"/>
      <c r="U903" s="16"/>
      <c r="V903" s="16"/>
      <c r="W903" s="16"/>
      <c r="X903" s="16"/>
      <c r="Y903" s="16"/>
      <c r="Z903" s="16"/>
      <c r="AA903" s="16"/>
      <c r="AB903" s="16"/>
      <c r="AC903" s="16"/>
      <c r="AD903" s="16"/>
    </row>
    <row r="904" spans="2:30" ht="15.75" customHeight="1">
      <c r="B904" s="14"/>
      <c r="C904" s="14"/>
      <c r="D904" s="14"/>
      <c r="E904" s="14"/>
      <c r="F904" s="14"/>
      <c r="G904" s="14"/>
      <c r="H904" s="14"/>
      <c r="I904" s="14"/>
      <c r="J904" s="14"/>
      <c r="K904" s="14"/>
      <c r="L904" s="14"/>
      <c r="M904" s="14"/>
      <c r="N904" s="14"/>
      <c r="O904" s="16"/>
      <c r="P904" s="16"/>
      <c r="Q904" s="16"/>
      <c r="R904" s="16"/>
      <c r="S904" s="16"/>
      <c r="T904" s="16"/>
      <c r="U904" s="16"/>
      <c r="V904" s="16"/>
      <c r="W904" s="16"/>
      <c r="X904" s="16"/>
      <c r="Y904" s="16"/>
      <c r="Z904" s="16"/>
      <c r="AA904" s="16"/>
      <c r="AB904" s="16"/>
      <c r="AC904" s="16"/>
      <c r="AD904" s="16"/>
    </row>
    <row r="905" spans="2:30" ht="15.75" customHeight="1">
      <c r="B905" s="14"/>
      <c r="C905" s="14"/>
      <c r="D905" s="14"/>
      <c r="E905" s="14"/>
      <c r="F905" s="14"/>
      <c r="G905" s="14"/>
      <c r="H905" s="14"/>
      <c r="I905" s="14"/>
      <c r="J905" s="14"/>
      <c r="K905" s="14"/>
      <c r="L905" s="14"/>
      <c r="M905" s="14"/>
      <c r="N905" s="14"/>
      <c r="O905" s="16"/>
      <c r="P905" s="16"/>
      <c r="Q905" s="16"/>
      <c r="R905" s="16"/>
      <c r="S905" s="16"/>
      <c r="T905" s="16"/>
      <c r="U905" s="16"/>
      <c r="V905" s="16"/>
      <c r="W905" s="16"/>
      <c r="X905" s="16"/>
      <c r="Y905" s="16"/>
      <c r="Z905" s="16"/>
      <c r="AA905" s="16"/>
      <c r="AB905" s="16"/>
      <c r="AC905" s="16"/>
      <c r="AD905" s="16"/>
    </row>
    <row r="906" spans="2:30" ht="15.75" customHeight="1">
      <c r="B906" s="14"/>
      <c r="C906" s="14"/>
      <c r="D906" s="14"/>
      <c r="E906" s="14"/>
      <c r="F906" s="14"/>
      <c r="G906" s="14"/>
      <c r="H906" s="14"/>
      <c r="I906" s="14"/>
      <c r="J906" s="14"/>
      <c r="K906" s="14"/>
      <c r="L906" s="14"/>
      <c r="M906" s="14"/>
      <c r="N906" s="14"/>
      <c r="O906" s="16"/>
      <c r="P906" s="16"/>
      <c r="Q906" s="16"/>
      <c r="R906" s="16"/>
      <c r="S906" s="16"/>
      <c r="T906" s="16"/>
      <c r="U906" s="16"/>
      <c r="V906" s="16"/>
      <c r="W906" s="16"/>
      <c r="X906" s="16"/>
      <c r="Y906" s="16"/>
      <c r="Z906" s="16"/>
      <c r="AA906" s="16"/>
      <c r="AB906" s="16"/>
      <c r="AC906" s="16"/>
      <c r="AD906" s="16"/>
    </row>
    <row r="907" spans="2:30" ht="15.75" customHeight="1">
      <c r="B907" s="14"/>
      <c r="C907" s="14"/>
      <c r="D907" s="14"/>
      <c r="E907" s="14"/>
      <c r="F907" s="14"/>
      <c r="G907" s="14"/>
      <c r="H907" s="14"/>
      <c r="I907" s="14"/>
      <c r="J907" s="14"/>
      <c r="K907" s="14"/>
      <c r="L907" s="14"/>
      <c r="M907" s="14"/>
      <c r="N907" s="14"/>
      <c r="O907" s="16"/>
      <c r="P907" s="16"/>
      <c r="Q907" s="16"/>
      <c r="R907" s="16"/>
      <c r="S907" s="16"/>
      <c r="T907" s="16"/>
      <c r="U907" s="16"/>
      <c r="V907" s="16"/>
      <c r="W907" s="16"/>
      <c r="X907" s="16"/>
      <c r="Y907" s="16"/>
      <c r="Z907" s="16"/>
      <c r="AA907" s="16"/>
      <c r="AB907" s="16"/>
      <c r="AC907" s="16"/>
      <c r="AD907" s="16"/>
    </row>
    <row r="908" spans="2:30" ht="15.75" customHeight="1">
      <c r="B908" s="14"/>
      <c r="C908" s="14"/>
      <c r="D908" s="14"/>
      <c r="E908" s="14"/>
      <c r="F908" s="14"/>
      <c r="G908" s="14"/>
      <c r="H908" s="14"/>
      <c r="I908" s="14"/>
      <c r="J908" s="14"/>
      <c r="K908" s="14"/>
      <c r="L908" s="14"/>
      <c r="M908" s="14"/>
      <c r="N908" s="14"/>
      <c r="O908" s="16"/>
      <c r="P908" s="16"/>
      <c r="Q908" s="16"/>
      <c r="R908" s="16"/>
      <c r="S908" s="16"/>
      <c r="T908" s="16"/>
      <c r="U908" s="16"/>
      <c r="V908" s="16"/>
      <c r="W908" s="16"/>
      <c r="X908" s="16"/>
      <c r="Y908" s="16"/>
      <c r="Z908" s="16"/>
      <c r="AA908" s="16"/>
      <c r="AB908" s="16"/>
      <c r="AC908" s="16"/>
      <c r="AD908" s="16"/>
    </row>
    <row r="909" spans="2:30" ht="15.75" customHeight="1">
      <c r="B909" s="14"/>
      <c r="C909" s="14"/>
      <c r="D909" s="14"/>
      <c r="E909" s="14"/>
      <c r="F909" s="14"/>
      <c r="G909" s="14"/>
      <c r="H909" s="14"/>
      <c r="I909" s="14"/>
      <c r="J909" s="14"/>
      <c r="K909" s="14"/>
      <c r="L909" s="14"/>
      <c r="M909" s="14"/>
      <c r="N909" s="14"/>
      <c r="O909" s="16"/>
      <c r="P909" s="16"/>
      <c r="Q909" s="16"/>
      <c r="R909" s="16"/>
      <c r="S909" s="16"/>
      <c r="T909" s="16"/>
      <c r="U909" s="16"/>
      <c r="V909" s="16"/>
      <c r="W909" s="16"/>
      <c r="X909" s="16"/>
      <c r="Y909" s="16"/>
      <c r="Z909" s="16"/>
      <c r="AA909" s="16"/>
      <c r="AB909" s="16"/>
      <c r="AC909" s="16"/>
      <c r="AD909" s="16"/>
    </row>
    <row r="910" spans="2:30" ht="15.75" customHeight="1">
      <c r="B910" s="14"/>
      <c r="C910" s="14"/>
      <c r="D910" s="14"/>
      <c r="E910" s="14"/>
      <c r="F910" s="14"/>
      <c r="G910" s="14"/>
      <c r="H910" s="14"/>
      <c r="I910" s="14"/>
      <c r="J910" s="14"/>
      <c r="K910" s="14"/>
      <c r="L910" s="14"/>
      <c r="M910" s="14"/>
      <c r="N910" s="14"/>
      <c r="O910" s="16"/>
      <c r="P910" s="16"/>
      <c r="Q910" s="16"/>
      <c r="R910" s="16"/>
      <c r="S910" s="16"/>
      <c r="T910" s="16"/>
      <c r="U910" s="16"/>
      <c r="V910" s="16"/>
      <c r="W910" s="16"/>
      <c r="X910" s="16"/>
      <c r="Y910" s="16"/>
      <c r="Z910" s="16"/>
      <c r="AA910" s="16"/>
      <c r="AB910" s="16"/>
      <c r="AC910" s="16"/>
      <c r="AD910" s="16"/>
    </row>
    <row r="911" spans="2:30" ht="15.75" customHeight="1">
      <c r="B911" s="14"/>
      <c r="C911" s="14"/>
      <c r="D911" s="14"/>
      <c r="E911" s="14"/>
      <c r="F911" s="14"/>
      <c r="G911" s="14"/>
      <c r="H911" s="14"/>
      <c r="I911" s="14"/>
      <c r="J911" s="14"/>
      <c r="K911" s="14"/>
      <c r="L911" s="14"/>
      <c r="M911" s="14"/>
      <c r="N911" s="14"/>
      <c r="O911" s="16"/>
      <c r="P911" s="16"/>
      <c r="Q911" s="16"/>
      <c r="R911" s="16"/>
      <c r="S911" s="16"/>
      <c r="T911" s="16"/>
      <c r="U911" s="16"/>
      <c r="V911" s="16"/>
      <c r="W911" s="16"/>
      <c r="X911" s="16"/>
      <c r="Y911" s="16"/>
      <c r="Z911" s="16"/>
      <c r="AA911" s="16"/>
      <c r="AB911" s="16"/>
      <c r="AC911" s="16"/>
      <c r="AD911" s="16"/>
    </row>
    <row r="912" spans="2:30" ht="15.75" customHeight="1">
      <c r="B912" s="14"/>
      <c r="C912" s="14"/>
      <c r="D912" s="14"/>
      <c r="E912" s="14"/>
      <c r="F912" s="14"/>
      <c r="G912" s="14"/>
      <c r="H912" s="14"/>
      <c r="I912" s="14"/>
      <c r="J912" s="14"/>
      <c r="K912" s="14"/>
      <c r="L912" s="14"/>
      <c r="M912" s="14"/>
      <c r="N912" s="14"/>
      <c r="O912" s="16"/>
      <c r="P912" s="16"/>
      <c r="Q912" s="16"/>
      <c r="R912" s="16"/>
      <c r="S912" s="16"/>
      <c r="T912" s="16"/>
      <c r="U912" s="16"/>
      <c r="V912" s="16"/>
      <c r="W912" s="16"/>
      <c r="X912" s="16"/>
      <c r="Y912" s="16"/>
      <c r="Z912" s="16"/>
      <c r="AA912" s="16"/>
      <c r="AB912" s="16"/>
      <c r="AC912" s="16"/>
      <c r="AD912" s="16"/>
    </row>
    <row r="913" spans="2:30" ht="15.75" customHeight="1">
      <c r="B913" s="14"/>
      <c r="C913" s="14"/>
      <c r="D913" s="14"/>
      <c r="E913" s="14"/>
      <c r="F913" s="14"/>
      <c r="G913" s="14"/>
      <c r="H913" s="14"/>
      <c r="I913" s="14"/>
      <c r="J913" s="14"/>
      <c r="K913" s="14"/>
      <c r="L913" s="14"/>
      <c r="M913" s="14"/>
      <c r="N913" s="14"/>
      <c r="O913" s="16"/>
      <c r="P913" s="16"/>
      <c r="Q913" s="16"/>
      <c r="R913" s="16"/>
      <c r="S913" s="16"/>
      <c r="T913" s="16"/>
      <c r="U913" s="16"/>
      <c r="V913" s="16"/>
      <c r="W913" s="16"/>
      <c r="X913" s="16"/>
      <c r="Y913" s="16"/>
      <c r="Z913" s="16"/>
      <c r="AA913" s="16"/>
      <c r="AB913" s="16"/>
      <c r="AC913" s="16"/>
      <c r="AD913" s="16"/>
    </row>
    <row r="914" spans="2:30" ht="15.75" customHeight="1">
      <c r="B914" s="14"/>
      <c r="C914" s="14"/>
      <c r="D914" s="14"/>
      <c r="E914" s="14"/>
      <c r="F914" s="14"/>
      <c r="G914" s="14"/>
      <c r="H914" s="14"/>
      <c r="I914" s="14"/>
      <c r="J914" s="14"/>
      <c r="K914" s="14"/>
      <c r="L914" s="14"/>
      <c r="M914" s="14"/>
      <c r="N914" s="14"/>
      <c r="O914" s="16"/>
      <c r="P914" s="16"/>
      <c r="Q914" s="16"/>
      <c r="R914" s="16"/>
      <c r="S914" s="16"/>
      <c r="T914" s="16"/>
      <c r="U914" s="16"/>
      <c r="V914" s="16"/>
      <c r="W914" s="16"/>
      <c r="X914" s="16"/>
      <c r="Y914" s="16"/>
      <c r="Z914" s="16"/>
      <c r="AA914" s="16"/>
      <c r="AB914" s="16"/>
      <c r="AC914" s="16"/>
      <c r="AD914" s="16"/>
    </row>
    <row r="915" spans="2:30" ht="15.75" customHeight="1">
      <c r="B915" s="14"/>
      <c r="C915" s="14"/>
      <c r="D915" s="14"/>
      <c r="E915" s="14"/>
      <c r="F915" s="14"/>
      <c r="G915" s="14"/>
      <c r="H915" s="14"/>
      <c r="I915" s="14"/>
      <c r="J915" s="14"/>
      <c r="K915" s="14"/>
      <c r="L915" s="14"/>
      <c r="M915" s="14"/>
      <c r="N915" s="14"/>
      <c r="O915" s="16"/>
      <c r="P915" s="16"/>
      <c r="Q915" s="16"/>
      <c r="R915" s="16"/>
      <c r="S915" s="16"/>
      <c r="T915" s="16"/>
      <c r="U915" s="16"/>
      <c r="V915" s="16"/>
      <c r="W915" s="16"/>
      <c r="X915" s="16"/>
      <c r="Y915" s="16"/>
      <c r="Z915" s="16"/>
      <c r="AA915" s="16"/>
      <c r="AB915" s="16"/>
      <c r="AC915" s="16"/>
      <c r="AD915" s="16"/>
    </row>
    <row r="916" spans="2:30" ht="15.75" customHeight="1">
      <c r="B916" s="14"/>
      <c r="C916" s="14"/>
      <c r="D916" s="14"/>
      <c r="E916" s="14"/>
      <c r="F916" s="14"/>
      <c r="G916" s="14"/>
      <c r="H916" s="14"/>
      <c r="I916" s="14"/>
      <c r="J916" s="14"/>
      <c r="K916" s="14"/>
      <c r="L916" s="14"/>
      <c r="M916" s="14"/>
      <c r="N916" s="14"/>
      <c r="O916" s="16"/>
      <c r="P916" s="16"/>
      <c r="Q916" s="16"/>
      <c r="R916" s="16"/>
      <c r="S916" s="16"/>
      <c r="T916" s="16"/>
      <c r="U916" s="16"/>
      <c r="V916" s="16"/>
      <c r="W916" s="16"/>
      <c r="X916" s="16"/>
      <c r="Y916" s="16"/>
      <c r="Z916" s="16"/>
      <c r="AA916" s="16"/>
      <c r="AB916" s="16"/>
      <c r="AC916" s="16"/>
      <c r="AD916" s="16"/>
    </row>
    <row r="917" spans="2:30" ht="15.75" customHeight="1">
      <c r="B917" s="14"/>
      <c r="C917" s="14"/>
      <c r="D917" s="14"/>
      <c r="E917" s="14"/>
      <c r="F917" s="14"/>
      <c r="G917" s="14"/>
      <c r="H917" s="14"/>
      <c r="I917" s="14"/>
      <c r="J917" s="14"/>
      <c r="K917" s="14"/>
      <c r="L917" s="14"/>
      <c r="M917" s="14"/>
      <c r="N917" s="14"/>
      <c r="O917" s="16"/>
      <c r="P917" s="16"/>
      <c r="Q917" s="16"/>
      <c r="R917" s="16"/>
      <c r="S917" s="16"/>
      <c r="T917" s="16"/>
      <c r="U917" s="16"/>
      <c r="V917" s="16"/>
      <c r="W917" s="16"/>
      <c r="X917" s="16"/>
      <c r="Y917" s="16"/>
      <c r="Z917" s="16"/>
      <c r="AA917" s="16"/>
      <c r="AB917" s="16"/>
      <c r="AC917" s="16"/>
      <c r="AD917" s="16"/>
    </row>
    <row r="918" spans="2:30" ht="15.75" customHeight="1">
      <c r="B918" s="14"/>
      <c r="C918" s="14"/>
      <c r="D918" s="14"/>
      <c r="E918" s="14"/>
      <c r="F918" s="14"/>
      <c r="G918" s="14"/>
      <c r="H918" s="14"/>
      <c r="I918" s="14"/>
      <c r="J918" s="14"/>
      <c r="K918" s="14"/>
      <c r="L918" s="14"/>
      <c r="M918" s="14"/>
      <c r="N918" s="14"/>
      <c r="O918" s="16"/>
      <c r="P918" s="16"/>
      <c r="Q918" s="16"/>
      <c r="R918" s="16"/>
      <c r="S918" s="16"/>
      <c r="T918" s="16"/>
      <c r="U918" s="16"/>
      <c r="V918" s="16"/>
      <c r="W918" s="16"/>
      <c r="X918" s="16"/>
      <c r="Y918" s="16"/>
      <c r="Z918" s="16"/>
      <c r="AA918" s="16"/>
      <c r="AB918" s="16"/>
      <c r="AC918" s="16"/>
      <c r="AD918" s="16"/>
    </row>
    <row r="919" spans="2:30" ht="15.75" customHeight="1">
      <c r="B919" s="14"/>
      <c r="C919" s="14"/>
      <c r="D919" s="14"/>
      <c r="E919" s="14"/>
      <c r="F919" s="14"/>
      <c r="G919" s="14"/>
      <c r="H919" s="14"/>
      <c r="I919" s="14"/>
      <c r="J919" s="14"/>
      <c r="K919" s="14"/>
      <c r="L919" s="14"/>
      <c r="M919" s="14"/>
      <c r="N919" s="14"/>
      <c r="O919" s="16"/>
      <c r="P919" s="16"/>
      <c r="Q919" s="16"/>
      <c r="R919" s="16"/>
      <c r="S919" s="16"/>
      <c r="T919" s="16"/>
      <c r="U919" s="16"/>
      <c r="V919" s="16"/>
      <c r="W919" s="16"/>
      <c r="X919" s="16"/>
      <c r="Y919" s="16"/>
      <c r="Z919" s="16"/>
      <c r="AA919" s="16"/>
      <c r="AB919" s="16"/>
      <c r="AC919" s="16"/>
      <c r="AD919" s="16"/>
    </row>
    <row r="920" spans="2:30" ht="15.75" customHeight="1">
      <c r="B920" s="14"/>
      <c r="C920" s="14"/>
      <c r="D920" s="14"/>
      <c r="E920" s="14"/>
      <c r="F920" s="14"/>
      <c r="G920" s="14"/>
      <c r="H920" s="14"/>
      <c r="I920" s="14"/>
      <c r="J920" s="14"/>
      <c r="K920" s="14"/>
      <c r="L920" s="14"/>
      <c r="M920" s="14"/>
      <c r="N920" s="14"/>
      <c r="O920" s="16"/>
      <c r="P920" s="16"/>
      <c r="Q920" s="16"/>
      <c r="R920" s="16"/>
      <c r="S920" s="16"/>
      <c r="T920" s="16"/>
      <c r="U920" s="16"/>
      <c r="V920" s="16"/>
      <c r="W920" s="16"/>
      <c r="X920" s="16"/>
      <c r="Y920" s="16"/>
      <c r="Z920" s="16"/>
      <c r="AA920" s="16"/>
      <c r="AB920" s="16"/>
      <c r="AC920" s="16"/>
      <c r="AD920" s="16"/>
    </row>
    <row r="921" spans="2:30" ht="15.75" customHeight="1">
      <c r="B921" s="14"/>
      <c r="C921" s="14"/>
      <c r="D921" s="14"/>
      <c r="E921" s="14"/>
      <c r="F921" s="14"/>
      <c r="G921" s="14"/>
      <c r="H921" s="14"/>
      <c r="I921" s="14"/>
      <c r="J921" s="14"/>
      <c r="K921" s="14"/>
      <c r="L921" s="14"/>
      <c r="M921" s="14"/>
      <c r="N921" s="14"/>
      <c r="O921" s="16"/>
      <c r="P921" s="16"/>
      <c r="Q921" s="16"/>
      <c r="R921" s="16"/>
      <c r="S921" s="16"/>
      <c r="T921" s="16"/>
      <c r="U921" s="16"/>
      <c r="V921" s="16"/>
      <c r="W921" s="16"/>
      <c r="X921" s="16"/>
      <c r="Y921" s="16"/>
      <c r="Z921" s="16"/>
      <c r="AA921" s="16"/>
      <c r="AB921" s="16"/>
      <c r="AC921" s="16"/>
      <c r="AD921" s="16"/>
    </row>
    <row r="922" spans="2:30" ht="15.75" customHeight="1">
      <c r="B922" s="14"/>
      <c r="C922" s="14"/>
      <c r="D922" s="14"/>
      <c r="E922" s="14"/>
      <c r="F922" s="14"/>
      <c r="G922" s="14"/>
      <c r="H922" s="14"/>
      <c r="I922" s="14"/>
      <c r="J922" s="14"/>
      <c r="K922" s="14"/>
      <c r="L922" s="14"/>
      <c r="M922" s="14"/>
      <c r="N922" s="14"/>
      <c r="O922" s="16"/>
      <c r="P922" s="16"/>
      <c r="Q922" s="16"/>
      <c r="R922" s="16"/>
      <c r="S922" s="16"/>
      <c r="T922" s="16"/>
      <c r="U922" s="16"/>
      <c r="V922" s="16"/>
      <c r="W922" s="16"/>
      <c r="X922" s="16"/>
      <c r="Y922" s="16"/>
      <c r="Z922" s="16"/>
      <c r="AA922" s="16"/>
      <c r="AB922" s="16"/>
      <c r="AC922" s="16"/>
      <c r="AD922" s="16"/>
    </row>
    <row r="923" spans="2:30" ht="15.75" customHeight="1">
      <c r="B923" s="14"/>
      <c r="C923" s="14"/>
      <c r="D923" s="14"/>
      <c r="E923" s="14"/>
      <c r="F923" s="14"/>
      <c r="G923" s="14"/>
      <c r="H923" s="14"/>
      <c r="I923" s="14"/>
      <c r="J923" s="14"/>
      <c r="K923" s="14"/>
      <c r="L923" s="14"/>
      <c r="M923" s="14"/>
      <c r="N923" s="14"/>
      <c r="O923" s="16"/>
      <c r="P923" s="16"/>
      <c r="Q923" s="16"/>
      <c r="R923" s="16"/>
      <c r="S923" s="16"/>
      <c r="T923" s="16"/>
      <c r="U923" s="16"/>
      <c r="V923" s="16"/>
      <c r="W923" s="16"/>
      <c r="X923" s="16"/>
      <c r="Y923" s="16"/>
      <c r="Z923" s="16"/>
      <c r="AA923" s="16"/>
      <c r="AB923" s="16"/>
      <c r="AC923" s="16"/>
      <c r="AD923" s="16"/>
    </row>
    <row r="924" spans="2:30" ht="15.75" customHeight="1">
      <c r="B924" s="14"/>
      <c r="C924" s="14"/>
      <c r="D924" s="14"/>
      <c r="E924" s="14"/>
      <c r="F924" s="14"/>
      <c r="G924" s="14"/>
      <c r="H924" s="14"/>
      <c r="I924" s="14"/>
      <c r="J924" s="14"/>
      <c r="K924" s="14"/>
      <c r="L924" s="14"/>
      <c r="M924" s="14"/>
      <c r="N924" s="14"/>
      <c r="O924" s="16"/>
      <c r="P924" s="16"/>
      <c r="Q924" s="16"/>
      <c r="R924" s="16"/>
      <c r="S924" s="16"/>
      <c r="T924" s="16"/>
      <c r="U924" s="16"/>
      <c r="V924" s="16"/>
      <c r="W924" s="16"/>
      <c r="X924" s="16"/>
      <c r="Y924" s="16"/>
      <c r="Z924" s="16"/>
      <c r="AA924" s="16"/>
      <c r="AB924" s="16"/>
      <c r="AC924" s="16"/>
      <c r="AD924" s="16"/>
    </row>
    <row r="925" spans="2:30" ht="15.75" customHeight="1">
      <c r="B925" s="14"/>
      <c r="C925" s="14"/>
      <c r="D925" s="14"/>
      <c r="E925" s="14"/>
      <c r="F925" s="14"/>
      <c r="G925" s="14"/>
      <c r="H925" s="14"/>
      <c r="I925" s="14"/>
      <c r="J925" s="14"/>
      <c r="K925" s="14"/>
      <c r="L925" s="14"/>
      <c r="M925" s="14"/>
      <c r="N925" s="14"/>
      <c r="O925" s="16"/>
      <c r="P925" s="16"/>
      <c r="Q925" s="16"/>
      <c r="R925" s="16"/>
      <c r="S925" s="16"/>
      <c r="T925" s="16"/>
      <c r="U925" s="16"/>
      <c r="V925" s="16"/>
      <c r="W925" s="16"/>
      <c r="X925" s="16"/>
      <c r="Y925" s="16"/>
      <c r="Z925" s="16"/>
      <c r="AA925" s="16"/>
      <c r="AB925" s="16"/>
      <c r="AC925" s="16"/>
      <c r="AD925" s="16"/>
    </row>
    <row r="926" spans="2:30" ht="15.75" customHeight="1">
      <c r="B926" s="14"/>
      <c r="C926" s="14"/>
      <c r="D926" s="14"/>
      <c r="E926" s="14"/>
      <c r="F926" s="14"/>
      <c r="G926" s="14"/>
      <c r="H926" s="14"/>
      <c r="I926" s="14"/>
      <c r="J926" s="14"/>
      <c r="K926" s="14"/>
      <c r="L926" s="14"/>
      <c r="M926" s="14"/>
      <c r="N926" s="14"/>
      <c r="O926" s="16"/>
      <c r="P926" s="16"/>
      <c r="Q926" s="16"/>
      <c r="R926" s="16"/>
      <c r="S926" s="16"/>
      <c r="T926" s="16"/>
      <c r="U926" s="16"/>
      <c r="V926" s="16"/>
      <c r="W926" s="16"/>
      <c r="X926" s="16"/>
      <c r="Y926" s="16"/>
      <c r="Z926" s="16"/>
      <c r="AA926" s="16"/>
      <c r="AB926" s="16"/>
      <c r="AC926" s="16"/>
      <c r="AD926" s="16"/>
    </row>
    <row r="927" spans="2:30" ht="15.75" customHeight="1">
      <c r="B927" s="14"/>
      <c r="C927" s="14"/>
      <c r="D927" s="14"/>
      <c r="E927" s="14"/>
      <c r="F927" s="14"/>
      <c r="G927" s="14"/>
      <c r="H927" s="14"/>
      <c r="I927" s="14"/>
      <c r="J927" s="14"/>
      <c r="K927" s="14"/>
      <c r="L927" s="14"/>
      <c r="M927" s="14"/>
      <c r="N927" s="14"/>
      <c r="O927" s="16"/>
      <c r="P927" s="16"/>
      <c r="Q927" s="16"/>
      <c r="R927" s="16"/>
      <c r="S927" s="16"/>
      <c r="T927" s="16"/>
      <c r="U927" s="16"/>
      <c r="V927" s="16"/>
      <c r="W927" s="16"/>
      <c r="X927" s="16"/>
      <c r="Y927" s="16"/>
      <c r="Z927" s="16"/>
      <c r="AA927" s="16"/>
      <c r="AB927" s="16"/>
      <c r="AC927" s="16"/>
      <c r="AD927" s="16"/>
    </row>
    <row r="928" spans="2:30" ht="15.75" customHeight="1">
      <c r="B928" s="14"/>
      <c r="C928" s="14"/>
      <c r="D928" s="14"/>
      <c r="E928" s="14"/>
      <c r="F928" s="14"/>
      <c r="G928" s="14"/>
      <c r="H928" s="14"/>
      <c r="I928" s="14"/>
      <c r="J928" s="14"/>
      <c r="K928" s="14"/>
      <c r="L928" s="14"/>
      <c r="M928" s="14"/>
      <c r="N928" s="14"/>
      <c r="O928" s="16"/>
      <c r="P928" s="16"/>
      <c r="Q928" s="16"/>
      <c r="R928" s="16"/>
      <c r="S928" s="16"/>
      <c r="T928" s="16"/>
      <c r="U928" s="16"/>
      <c r="V928" s="16"/>
      <c r="W928" s="16"/>
      <c r="X928" s="16"/>
      <c r="Y928" s="16"/>
      <c r="Z928" s="16"/>
      <c r="AA928" s="16"/>
      <c r="AB928" s="16"/>
      <c r="AC928" s="16"/>
      <c r="AD928" s="16"/>
    </row>
    <row r="929" spans="2:30" ht="15.75" customHeight="1">
      <c r="B929" s="14"/>
      <c r="C929" s="14"/>
      <c r="D929" s="14"/>
      <c r="E929" s="14"/>
      <c r="F929" s="14"/>
      <c r="G929" s="14"/>
      <c r="H929" s="14"/>
      <c r="I929" s="14"/>
      <c r="J929" s="14"/>
      <c r="K929" s="14"/>
      <c r="L929" s="14"/>
      <c r="M929" s="14"/>
      <c r="N929" s="14"/>
      <c r="O929" s="16"/>
      <c r="P929" s="16"/>
      <c r="Q929" s="16"/>
      <c r="R929" s="16"/>
      <c r="S929" s="16"/>
      <c r="T929" s="16"/>
      <c r="U929" s="16"/>
      <c r="V929" s="16"/>
      <c r="W929" s="16"/>
      <c r="X929" s="16"/>
      <c r="Y929" s="16"/>
      <c r="Z929" s="16"/>
      <c r="AA929" s="16"/>
      <c r="AB929" s="16"/>
      <c r="AC929" s="16"/>
      <c r="AD929" s="16"/>
    </row>
    <row r="930" spans="2:30" ht="15.75" customHeight="1">
      <c r="B930" s="14"/>
      <c r="C930" s="14"/>
      <c r="D930" s="14"/>
      <c r="E930" s="14"/>
      <c r="F930" s="14"/>
      <c r="G930" s="14"/>
      <c r="H930" s="14"/>
      <c r="I930" s="14"/>
      <c r="J930" s="14"/>
      <c r="K930" s="14"/>
      <c r="L930" s="14"/>
      <c r="M930" s="14"/>
      <c r="N930" s="14"/>
      <c r="O930" s="16"/>
      <c r="P930" s="16"/>
      <c r="Q930" s="16"/>
      <c r="R930" s="16"/>
      <c r="S930" s="16"/>
      <c r="T930" s="16"/>
      <c r="U930" s="16"/>
      <c r="V930" s="16"/>
      <c r="W930" s="16"/>
      <c r="X930" s="16"/>
      <c r="Y930" s="16"/>
      <c r="Z930" s="16"/>
      <c r="AA930" s="16"/>
      <c r="AB930" s="16"/>
      <c r="AC930" s="16"/>
      <c r="AD930" s="16"/>
    </row>
    <row r="931" spans="2:30" ht="15.75" customHeight="1">
      <c r="B931" s="14"/>
      <c r="C931" s="14"/>
      <c r="D931" s="14"/>
      <c r="E931" s="14"/>
      <c r="F931" s="14"/>
      <c r="G931" s="14"/>
      <c r="H931" s="14"/>
      <c r="I931" s="14"/>
      <c r="J931" s="14"/>
      <c r="K931" s="14"/>
      <c r="L931" s="14"/>
      <c r="M931" s="14"/>
      <c r="N931" s="14"/>
      <c r="O931" s="16"/>
      <c r="P931" s="16"/>
      <c r="Q931" s="16"/>
      <c r="R931" s="16"/>
      <c r="S931" s="16"/>
      <c r="T931" s="16"/>
      <c r="U931" s="16"/>
      <c r="V931" s="16"/>
      <c r="W931" s="16"/>
      <c r="X931" s="16"/>
      <c r="Y931" s="16"/>
      <c r="Z931" s="16"/>
      <c r="AA931" s="16"/>
      <c r="AB931" s="16"/>
      <c r="AC931" s="16"/>
      <c r="AD931" s="16"/>
    </row>
    <row r="932" spans="2:30" ht="15.75" customHeight="1">
      <c r="B932" s="14"/>
      <c r="C932" s="14"/>
      <c r="D932" s="14"/>
      <c r="E932" s="14"/>
      <c r="F932" s="14"/>
      <c r="G932" s="14"/>
      <c r="H932" s="14"/>
      <c r="I932" s="14"/>
      <c r="J932" s="14"/>
      <c r="K932" s="14"/>
      <c r="L932" s="14"/>
      <c r="M932" s="14"/>
      <c r="N932" s="14"/>
      <c r="O932" s="16"/>
      <c r="P932" s="16"/>
      <c r="Q932" s="16"/>
      <c r="R932" s="16"/>
      <c r="S932" s="16"/>
      <c r="T932" s="16"/>
      <c r="U932" s="16"/>
      <c r="V932" s="16"/>
      <c r="W932" s="16"/>
      <c r="X932" s="16"/>
      <c r="Y932" s="16"/>
      <c r="Z932" s="16"/>
      <c r="AA932" s="16"/>
      <c r="AB932" s="16"/>
      <c r="AC932" s="16"/>
      <c r="AD932" s="16"/>
    </row>
    <row r="933" spans="2:30" ht="15.75" customHeight="1">
      <c r="B933" s="14"/>
      <c r="C933" s="14"/>
      <c r="D933" s="14"/>
      <c r="E933" s="14"/>
      <c r="F933" s="14"/>
      <c r="G933" s="14"/>
      <c r="H933" s="14"/>
      <c r="I933" s="14"/>
      <c r="J933" s="14"/>
      <c r="K933" s="14"/>
      <c r="L933" s="14"/>
      <c r="M933" s="14"/>
      <c r="N933" s="14"/>
      <c r="O933" s="16"/>
      <c r="P933" s="16"/>
      <c r="Q933" s="16"/>
      <c r="R933" s="16"/>
      <c r="S933" s="16"/>
      <c r="T933" s="16"/>
      <c r="U933" s="16"/>
      <c r="V933" s="16"/>
      <c r="W933" s="16"/>
      <c r="X933" s="16"/>
      <c r="Y933" s="16"/>
      <c r="Z933" s="16"/>
      <c r="AA933" s="16"/>
      <c r="AB933" s="16"/>
      <c r="AC933" s="16"/>
      <c r="AD933" s="16"/>
    </row>
    <row r="934" spans="2:30" ht="15.75" customHeight="1">
      <c r="B934" s="14"/>
      <c r="C934" s="14"/>
      <c r="D934" s="14"/>
      <c r="E934" s="14"/>
      <c r="F934" s="14"/>
      <c r="G934" s="14"/>
      <c r="H934" s="14"/>
      <c r="I934" s="14"/>
      <c r="J934" s="14"/>
      <c r="K934" s="14"/>
      <c r="L934" s="14"/>
      <c r="M934" s="14"/>
      <c r="N934" s="14"/>
      <c r="O934" s="16"/>
      <c r="P934" s="16"/>
      <c r="Q934" s="16"/>
      <c r="R934" s="16"/>
      <c r="S934" s="16"/>
      <c r="T934" s="16"/>
      <c r="U934" s="16"/>
      <c r="V934" s="16"/>
      <c r="W934" s="16"/>
      <c r="X934" s="16"/>
      <c r="Y934" s="16"/>
      <c r="Z934" s="16"/>
      <c r="AA934" s="16"/>
      <c r="AB934" s="16"/>
      <c r="AC934" s="16"/>
      <c r="AD934" s="16"/>
    </row>
    <row r="935" spans="2:30" ht="15.75" customHeight="1">
      <c r="B935" s="14"/>
      <c r="C935" s="14"/>
      <c r="D935" s="14"/>
      <c r="E935" s="14"/>
      <c r="F935" s="14"/>
      <c r="G935" s="14"/>
      <c r="H935" s="14"/>
      <c r="I935" s="14"/>
      <c r="J935" s="14"/>
      <c r="K935" s="14"/>
      <c r="L935" s="14"/>
      <c r="M935" s="14"/>
      <c r="N935" s="14"/>
      <c r="O935" s="16"/>
      <c r="P935" s="16"/>
      <c r="Q935" s="16"/>
      <c r="R935" s="16"/>
      <c r="S935" s="16"/>
      <c r="T935" s="16"/>
      <c r="U935" s="16"/>
      <c r="V935" s="16"/>
      <c r="W935" s="16"/>
      <c r="X935" s="16"/>
      <c r="Y935" s="16"/>
      <c r="Z935" s="16"/>
      <c r="AA935" s="16"/>
      <c r="AB935" s="16"/>
      <c r="AC935" s="16"/>
      <c r="AD935" s="16"/>
    </row>
    <row r="936" spans="2:30" ht="15.75" customHeight="1">
      <c r="B936" s="14"/>
      <c r="C936" s="14"/>
      <c r="D936" s="14"/>
      <c r="E936" s="14"/>
      <c r="F936" s="14"/>
      <c r="G936" s="14"/>
      <c r="H936" s="14"/>
      <c r="I936" s="14"/>
      <c r="J936" s="14"/>
      <c r="K936" s="14"/>
      <c r="L936" s="14"/>
      <c r="M936" s="14"/>
      <c r="N936" s="14"/>
      <c r="O936" s="16"/>
      <c r="P936" s="16"/>
      <c r="Q936" s="16"/>
      <c r="R936" s="16"/>
      <c r="S936" s="16"/>
      <c r="T936" s="16"/>
      <c r="U936" s="16"/>
      <c r="V936" s="16"/>
      <c r="W936" s="16"/>
      <c r="X936" s="16"/>
      <c r="Y936" s="16"/>
      <c r="Z936" s="16"/>
      <c r="AA936" s="16"/>
      <c r="AB936" s="16"/>
      <c r="AC936" s="16"/>
      <c r="AD936" s="16"/>
    </row>
    <row r="937" spans="2:30" ht="15.75" customHeight="1">
      <c r="B937" s="14"/>
      <c r="C937" s="14"/>
      <c r="D937" s="14"/>
      <c r="E937" s="14"/>
      <c r="F937" s="14"/>
      <c r="G937" s="14"/>
      <c r="H937" s="14"/>
      <c r="I937" s="14"/>
      <c r="J937" s="14"/>
      <c r="K937" s="14"/>
      <c r="L937" s="14"/>
      <c r="M937" s="14"/>
      <c r="N937" s="14"/>
      <c r="O937" s="16"/>
      <c r="P937" s="16"/>
      <c r="Q937" s="16"/>
      <c r="R937" s="16"/>
      <c r="S937" s="16"/>
      <c r="T937" s="16"/>
      <c r="U937" s="16"/>
      <c r="V937" s="16"/>
      <c r="W937" s="16"/>
      <c r="X937" s="16"/>
      <c r="Y937" s="16"/>
      <c r="Z937" s="16"/>
      <c r="AA937" s="16"/>
      <c r="AB937" s="16"/>
      <c r="AC937" s="16"/>
      <c r="AD937" s="16"/>
    </row>
    <row r="938" spans="2:30" ht="15.75" customHeight="1">
      <c r="B938" s="14"/>
      <c r="C938" s="14"/>
      <c r="D938" s="14"/>
      <c r="E938" s="14"/>
      <c r="F938" s="14"/>
      <c r="G938" s="14"/>
      <c r="H938" s="14"/>
      <c r="I938" s="14"/>
      <c r="J938" s="14"/>
      <c r="K938" s="14"/>
      <c r="L938" s="14"/>
      <c r="M938" s="14"/>
      <c r="N938" s="14"/>
      <c r="O938" s="16"/>
      <c r="P938" s="16"/>
      <c r="Q938" s="16"/>
      <c r="R938" s="16"/>
      <c r="S938" s="16"/>
      <c r="T938" s="16"/>
      <c r="U938" s="16"/>
      <c r="V938" s="16"/>
      <c r="W938" s="16"/>
      <c r="X938" s="16"/>
      <c r="Y938" s="16"/>
      <c r="Z938" s="16"/>
      <c r="AA938" s="16"/>
      <c r="AB938" s="16"/>
      <c r="AC938" s="16"/>
      <c r="AD938" s="16"/>
    </row>
    <row r="939" spans="2:30" ht="15.75" customHeight="1">
      <c r="B939" s="14"/>
      <c r="C939" s="14"/>
      <c r="D939" s="14"/>
      <c r="E939" s="14"/>
      <c r="F939" s="14"/>
      <c r="G939" s="14"/>
      <c r="H939" s="14"/>
      <c r="I939" s="14"/>
      <c r="J939" s="14"/>
      <c r="K939" s="14"/>
      <c r="L939" s="14"/>
      <c r="M939" s="14"/>
      <c r="N939" s="14"/>
      <c r="O939" s="16"/>
      <c r="P939" s="16"/>
      <c r="Q939" s="16"/>
      <c r="R939" s="16"/>
      <c r="S939" s="16"/>
      <c r="T939" s="16"/>
      <c r="U939" s="16"/>
      <c r="V939" s="16"/>
      <c r="W939" s="16"/>
      <c r="X939" s="16"/>
      <c r="Y939" s="16"/>
      <c r="Z939" s="16"/>
      <c r="AA939" s="16"/>
      <c r="AB939" s="16"/>
      <c r="AC939" s="16"/>
      <c r="AD939" s="16"/>
    </row>
    <row r="940" spans="2:30" ht="15.75" customHeight="1">
      <c r="B940" s="14"/>
      <c r="C940" s="14"/>
      <c r="D940" s="14"/>
      <c r="E940" s="14"/>
      <c r="F940" s="14"/>
      <c r="G940" s="14"/>
      <c r="H940" s="14"/>
      <c r="I940" s="14"/>
      <c r="J940" s="14"/>
      <c r="K940" s="14"/>
      <c r="L940" s="14"/>
      <c r="M940" s="14"/>
      <c r="N940" s="14"/>
      <c r="O940" s="16"/>
      <c r="P940" s="16"/>
      <c r="Q940" s="16"/>
      <c r="R940" s="16"/>
      <c r="S940" s="16"/>
      <c r="T940" s="16"/>
      <c r="U940" s="16"/>
      <c r="V940" s="16"/>
      <c r="W940" s="16"/>
      <c r="X940" s="16"/>
      <c r="Y940" s="16"/>
      <c r="Z940" s="16"/>
      <c r="AA940" s="16"/>
      <c r="AB940" s="16"/>
      <c r="AC940" s="16"/>
      <c r="AD940" s="16"/>
    </row>
    <row r="941" spans="2:30" ht="15.75" customHeight="1">
      <c r="B941" s="14"/>
      <c r="C941" s="14"/>
      <c r="D941" s="14"/>
      <c r="E941" s="14"/>
      <c r="F941" s="14"/>
      <c r="G941" s="14"/>
      <c r="H941" s="14"/>
      <c r="I941" s="14"/>
      <c r="J941" s="14"/>
      <c r="K941" s="14"/>
      <c r="L941" s="14"/>
      <c r="M941" s="14"/>
      <c r="N941" s="14"/>
      <c r="O941" s="16"/>
      <c r="P941" s="16"/>
      <c r="Q941" s="16"/>
      <c r="R941" s="16"/>
      <c r="S941" s="16"/>
      <c r="T941" s="16"/>
      <c r="U941" s="16"/>
      <c r="V941" s="16"/>
      <c r="W941" s="16"/>
      <c r="X941" s="16"/>
      <c r="Y941" s="16"/>
      <c r="Z941" s="16"/>
      <c r="AA941" s="16"/>
      <c r="AB941" s="16"/>
      <c r="AC941" s="16"/>
      <c r="AD941" s="16"/>
    </row>
    <row r="942" spans="2:30" ht="15.75" customHeight="1">
      <c r="B942" s="14"/>
      <c r="C942" s="14"/>
      <c r="D942" s="14"/>
      <c r="E942" s="14"/>
      <c r="F942" s="14"/>
      <c r="G942" s="14"/>
      <c r="H942" s="14"/>
      <c r="I942" s="14"/>
      <c r="J942" s="14"/>
      <c r="K942" s="14"/>
      <c r="L942" s="14"/>
      <c r="M942" s="14"/>
      <c r="N942" s="14"/>
      <c r="O942" s="16"/>
      <c r="P942" s="16"/>
      <c r="Q942" s="16"/>
      <c r="R942" s="16"/>
      <c r="S942" s="16"/>
      <c r="T942" s="16"/>
      <c r="U942" s="16"/>
      <c r="V942" s="16"/>
      <c r="W942" s="16"/>
      <c r="X942" s="16"/>
      <c r="Y942" s="16"/>
      <c r="Z942" s="16"/>
      <c r="AA942" s="16"/>
      <c r="AB942" s="16"/>
      <c r="AC942" s="16"/>
      <c r="AD942" s="16"/>
    </row>
    <row r="943" spans="2:30" ht="15.75" customHeight="1">
      <c r="B943" s="14"/>
      <c r="C943" s="14"/>
      <c r="D943" s="14"/>
      <c r="E943" s="14"/>
      <c r="F943" s="14"/>
      <c r="G943" s="14"/>
      <c r="H943" s="14"/>
      <c r="I943" s="14"/>
      <c r="J943" s="14"/>
      <c r="K943" s="14"/>
      <c r="L943" s="14"/>
      <c r="M943" s="14"/>
      <c r="N943" s="14"/>
      <c r="O943" s="16"/>
      <c r="P943" s="16"/>
      <c r="Q943" s="16"/>
      <c r="R943" s="16"/>
      <c r="S943" s="16"/>
      <c r="T943" s="16"/>
      <c r="U943" s="16"/>
      <c r="V943" s="16"/>
      <c r="W943" s="16"/>
      <c r="X943" s="16"/>
      <c r="Y943" s="16"/>
      <c r="Z943" s="16"/>
      <c r="AA943" s="16"/>
      <c r="AB943" s="16"/>
      <c r="AC943" s="16"/>
      <c r="AD943" s="16"/>
    </row>
    <row r="944" spans="2:30" ht="15.75" customHeight="1">
      <c r="B944" s="14"/>
      <c r="C944" s="14"/>
      <c r="D944" s="14"/>
      <c r="E944" s="14"/>
      <c r="F944" s="14"/>
      <c r="G944" s="14"/>
      <c r="H944" s="14"/>
      <c r="I944" s="14"/>
      <c r="J944" s="14"/>
      <c r="K944" s="14"/>
      <c r="L944" s="14"/>
      <c r="M944" s="14"/>
      <c r="N944" s="14"/>
      <c r="O944" s="16"/>
      <c r="P944" s="16"/>
      <c r="Q944" s="16"/>
      <c r="R944" s="16"/>
      <c r="S944" s="16"/>
      <c r="T944" s="16"/>
      <c r="U944" s="16"/>
      <c r="V944" s="16"/>
      <c r="W944" s="16"/>
      <c r="X944" s="16"/>
      <c r="Y944" s="16"/>
      <c r="Z944" s="16"/>
      <c r="AA944" s="16"/>
      <c r="AB944" s="16"/>
      <c r="AC944" s="16"/>
      <c r="AD944" s="16"/>
    </row>
    <row r="945" spans="2:30" ht="15.75" customHeight="1">
      <c r="B945" s="14"/>
      <c r="C945" s="14"/>
      <c r="D945" s="14"/>
      <c r="E945" s="14"/>
      <c r="F945" s="14"/>
      <c r="G945" s="14"/>
      <c r="H945" s="14"/>
      <c r="I945" s="14"/>
      <c r="J945" s="14"/>
      <c r="K945" s="14"/>
      <c r="L945" s="14"/>
      <c r="M945" s="14"/>
      <c r="N945" s="14"/>
      <c r="O945" s="16"/>
      <c r="P945" s="16"/>
      <c r="Q945" s="16"/>
      <c r="R945" s="16"/>
      <c r="S945" s="16"/>
      <c r="T945" s="16"/>
      <c r="U945" s="16"/>
      <c r="V945" s="16"/>
      <c r="W945" s="16"/>
      <c r="X945" s="16"/>
      <c r="Y945" s="16"/>
      <c r="Z945" s="16"/>
      <c r="AA945" s="16"/>
      <c r="AB945" s="16"/>
      <c r="AC945" s="16"/>
      <c r="AD945" s="16"/>
    </row>
    <row r="946" spans="2:30" ht="15.75" customHeight="1">
      <c r="B946" s="14"/>
      <c r="C946" s="14"/>
      <c r="D946" s="14"/>
      <c r="E946" s="14"/>
      <c r="F946" s="14"/>
      <c r="G946" s="14"/>
      <c r="H946" s="14"/>
      <c r="I946" s="14"/>
      <c r="J946" s="14"/>
      <c r="K946" s="14"/>
      <c r="L946" s="14"/>
      <c r="M946" s="14"/>
      <c r="N946" s="14"/>
      <c r="O946" s="16"/>
      <c r="P946" s="16"/>
      <c r="Q946" s="16"/>
      <c r="R946" s="16"/>
      <c r="S946" s="16"/>
      <c r="T946" s="16"/>
      <c r="U946" s="16"/>
      <c r="V946" s="16"/>
      <c r="W946" s="16"/>
      <c r="X946" s="16"/>
      <c r="Y946" s="16"/>
      <c r="Z946" s="16"/>
      <c r="AA946" s="16"/>
      <c r="AB946" s="16"/>
      <c r="AC946" s="16"/>
      <c r="AD946" s="16"/>
    </row>
    <row r="947" spans="2:30" ht="15.75" customHeight="1">
      <c r="B947" s="14"/>
      <c r="C947" s="14"/>
      <c r="D947" s="14"/>
      <c r="E947" s="14"/>
      <c r="F947" s="14"/>
      <c r="G947" s="14"/>
      <c r="H947" s="14"/>
      <c r="I947" s="14"/>
      <c r="J947" s="14"/>
      <c r="K947" s="14"/>
      <c r="L947" s="14"/>
      <c r="M947" s="14"/>
      <c r="N947" s="14"/>
      <c r="O947" s="16"/>
      <c r="P947" s="16"/>
      <c r="Q947" s="16"/>
      <c r="R947" s="16"/>
      <c r="S947" s="16"/>
      <c r="T947" s="16"/>
      <c r="U947" s="16"/>
      <c r="V947" s="16"/>
      <c r="W947" s="16"/>
      <c r="X947" s="16"/>
      <c r="Y947" s="16"/>
      <c r="Z947" s="16"/>
      <c r="AA947" s="16"/>
      <c r="AB947" s="16"/>
      <c r="AC947" s="16"/>
      <c r="AD947" s="16"/>
    </row>
    <row r="948" spans="2:30" ht="15.75" customHeight="1">
      <c r="B948" s="14"/>
      <c r="C948" s="14"/>
      <c r="D948" s="14"/>
      <c r="E948" s="14"/>
      <c r="F948" s="14"/>
      <c r="G948" s="14"/>
      <c r="H948" s="14"/>
      <c r="I948" s="14"/>
      <c r="J948" s="14"/>
      <c r="K948" s="14"/>
      <c r="L948" s="14"/>
      <c r="M948" s="14"/>
      <c r="N948" s="14"/>
      <c r="O948" s="16"/>
      <c r="P948" s="16"/>
      <c r="Q948" s="16"/>
      <c r="R948" s="16"/>
      <c r="S948" s="16"/>
      <c r="T948" s="16"/>
      <c r="U948" s="16"/>
      <c r="V948" s="16"/>
      <c r="W948" s="16"/>
      <c r="X948" s="16"/>
      <c r="Y948" s="16"/>
      <c r="Z948" s="16"/>
      <c r="AA948" s="16"/>
      <c r="AB948" s="16"/>
      <c r="AC948" s="16"/>
      <c r="AD948" s="16"/>
    </row>
    <row r="949" spans="2:30" ht="15.75" customHeight="1">
      <c r="B949" s="14"/>
      <c r="C949" s="14"/>
      <c r="D949" s="14"/>
      <c r="E949" s="14"/>
      <c r="F949" s="14"/>
      <c r="G949" s="14"/>
      <c r="H949" s="14"/>
      <c r="I949" s="14"/>
      <c r="J949" s="14"/>
      <c r="K949" s="14"/>
      <c r="L949" s="14"/>
      <c r="M949" s="14"/>
      <c r="N949" s="14"/>
      <c r="O949" s="16"/>
      <c r="P949" s="16"/>
      <c r="Q949" s="16"/>
      <c r="R949" s="16"/>
      <c r="S949" s="16"/>
      <c r="T949" s="16"/>
      <c r="U949" s="16"/>
      <c r="V949" s="16"/>
      <c r="W949" s="16"/>
      <c r="X949" s="16"/>
      <c r="Y949" s="16"/>
      <c r="Z949" s="16"/>
      <c r="AA949" s="16"/>
      <c r="AB949" s="16"/>
      <c r="AC949" s="16"/>
      <c r="AD949" s="16"/>
    </row>
    <row r="950" spans="2:30" ht="15.75" customHeight="1">
      <c r="B950" s="14"/>
      <c r="C950" s="14"/>
      <c r="D950" s="14"/>
      <c r="E950" s="14"/>
      <c r="F950" s="14"/>
      <c r="G950" s="14"/>
      <c r="H950" s="14"/>
      <c r="I950" s="14"/>
      <c r="J950" s="14"/>
      <c r="K950" s="14"/>
      <c r="L950" s="14"/>
      <c r="M950" s="14"/>
      <c r="N950" s="14"/>
      <c r="O950" s="16"/>
      <c r="P950" s="16"/>
      <c r="Q950" s="16"/>
      <c r="R950" s="16"/>
      <c r="S950" s="16"/>
      <c r="T950" s="16"/>
      <c r="U950" s="16"/>
      <c r="V950" s="16"/>
      <c r="W950" s="16"/>
      <c r="X950" s="16"/>
      <c r="Y950" s="16"/>
      <c r="Z950" s="16"/>
      <c r="AA950" s="16"/>
      <c r="AB950" s="16"/>
      <c r="AC950" s="16"/>
      <c r="AD950" s="16"/>
    </row>
    <row r="951" spans="2:30" ht="15.75" customHeight="1">
      <c r="B951" s="14"/>
      <c r="C951" s="14"/>
      <c r="D951" s="14"/>
      <c r="E951" s="14"/>
      <c r="F951" s="14"/>
      <c r="G951" s="14"/>
      <c r="H951" s="14"/>
      <c r="I951" s="14"/>
      <c r="J951" s="14"/>
      <c r="K951" s="14"/>
      <c r="L951" s="14"/>
      <c r="M951" s="14"/>
      <c r="N951" s="14"/>
      <c r="O951" s="16"/>
      <c r="P951" s="16"/>
      <c r="Q951" s="16"/>
      <c r="R951" s="16"/>
      <c r="S951" s="16"/>
      <c r="T951" s="16"/>
      <c r="U951" s="16"/>
      <c r="V951" s="16"/>
      <c r="W951" s="16"/>
      <c r="X951" s="16"/>
      <c r="Y951" s="16"/>
      <c r="Z951" s="16"/>
      <c r="AA951" s="16"/>
      <c r="AB951" s="16"/>
      <c r="AC951" s="16"/>
      <c r="AD951" s="16"/>
    </row>
    <row r="952" spans="2:30" ht="15.75" customHeight="1">
      <c r="B952" s="14"/>
      <c r="C952" s="14"/>
      <c r="D952" s="14"/>
      <c r="E952" s="14"/>
      <c r="F952" s="14"/>
      <c r="G952" s="14"/>
      <c r="H952" s="14"/>
      <c r="I952" s="14"/>
      <c r="J952" s="14"/>
      <c r="K952" s="14"/>
      <c r="L952" s="14"/>
      <c r="M952" s="14"/>
      <c r="N952" s="14"/>
      <c r="O952" s="16"/>
      <c r="P952" s="16"/>
      <c r="Q952" s="16"/>
      <c r="R952" s="16"/>
      <c r="S952" s="16"/>
      <c r="T952" s="16"/>
      <c r="U952" s="16"/>
      <c r="V952" s="16"/>
      <c r="W952" s="16"/>
      <c r="X952" s="16"/>
      <c r="Y952" s="16"/>
      <c r="Z952" s="16"/>
      <c r="AA952" s="16"/>
      <c r="AB952" s="16"/>
      <c r="AC952" s="16"/>
      <c r="AD952" s="16"/>
    </row>
    <row r="953" spans="2:30" ht="15.75" customHeight="1">
      <c r="B953" s="14"/>
      <c r="C953" s="14"/>
      <c r="D953" s="14"/>
      <c r="E953" s="14"/>
      <c r="F953" s="14"/>
      <c r="G953" s="14"/>
      <c r="H953" s="14"/>
      <c r="I953" s="14"/>
      <c r="J953" s="14"/>
      <c r="K953" s="14"/>
      <c r="L953" s="14"/>
      <c r="M953" s="14"/>
      <c r="N953" s="14"/>
      <c r="O953" s="16"/>
      <c r="P953" s="16"/>
      <c r="Q953" s="16"/>
      <c r="R953" s="16"/>
      <c r="S953" s="16"/>
      <c r="T953" s="16"/>
      <c r="U953" s="16"/>
      <c r="V953" s="16"/>
      <c r="W953" s="16"/>
      <c r="X953" s="16"/>
      <c r="Y953" s="16"/>
      <c r="Z953" s="16"/>
      <c r="AA953" s="16"/>
      <c r="AB953" s="16"/>
      <c r="AC953" s="16"/>
      <c r="AD953" s="16"/>
    </row>
    <row r="954" spans="2:30" ht="15.75" customHeight="1">
      <c r="B954" s="14"/>
      <c r="C954" s="14"/>
      <c r="D954" s="14"/>
      <c r="E954" s="14"/>
      <c r="F954" s="14"/>
      <c r="G954" s="14"/>
      <c r="H954" s="14"/>
      <c r="I954" s="14"/>
      <c r="J954" s="14"/>
      <c r="K954" s="14"/>
      <c r="L954" s="14"/>
      <c r="M954" s="14"/>
      <c r="N954" s="14"/>
      <c r="O954" s="16"/>
      <c r="P954" s="16"/>
      <c r="Q954" s="16"/>
      <c r="R954" s="16"/>
      <c r="S954" s="16"/>
      <c r="T954" s="16"/>
      <c r="U954" s="16"/>
      <c r="V954" s="16"/>
      <c r="W954" s="16"/>
      <c r="X954" s="16"/>
      <c r="Y954" s="16"/>
      <c r="Z954" s="16"/>
      <c r="AA954" s="16"/>
      <c r="AB954" s="16"/>
      <c r="AC954" s="16"/>
      <c r="AD954" s="16"/>
    </row>
    <row r="955" spans="2:30" ht="15.75" customHeight="1">
      <c r="B955" s="14"/>
      <c r="C955" s="14"/>
      <c r="D955" s="14"/>
      <c r="E955" s="14"/>
      <c r="F955" s="14"/>
      <c r="G955" s="14"/>
      <c r="H955" s="14"/>
      <c r="I955" s="14"/>
      <c r="J955" s="14"/>
      <c r="K955" s="14"/>
      <c r="L955" s="14"/>
      <c r="M955" s="14"/>
      <c r="N955" s="14"/>
      <c r="O955" s="16"/>
      <c r="P955" s="16"/>
      <c r="Q955" s="16"/>
      <c r="R955" s="16"/>
      <c r="S955" s="16"/>
      <c r="T955" s="16"/>
      <c r="U955" s="16"/>
      <c r="V955" s="16"/>
      <c r="W955" s="16"/>
      <c r="X955" s="16"/>
      <c r="Y955" s="16"/>
      <c r="Z955" s="16"/>
      <c r="AA955" s="16"/>
      <c r="AB955" s="16"/>
      <c r="AC955" s="16"/>
      <c r="AD955" s="16"/>
    </row>
    <row r="956" spans="2:30" ht="15.75" customHeight="1">
      <c r="B956" s="14"/>
      <c r="C956" s="14"/>
      <c r="D956" s="14"/>
      <c r="E956" s="14"/>
      <c r="F956" s="14"/>
      <c r="G956" s="14"/>
      <c r="H956" s="14"/>
      <c r="I956" s="14"/>
      <c r="J956" s="14"/>
      <c r="K956" s="14"/>
      <c r="L956" s="14"/>
      <c r="M956" s="14"/>
      <c r="N956" s="14"/>
      <c r="O956" s="16"/>
      <c r="P956" s="16"/>
      <c r="Q956" s="16"/>
      <c r="R956" s="16"/>
      <c r="S956" s="16"/>
      <c r="T956" s="16"/>
      <c r="U956" s="16"/>
      <c r="V956" s="16"/>
      <c r="W956" s="16"/>
      <c r="X956" s="16"/>
      <c r="Y956" s="16"/>
      <c r="Z956" s="16"/>
      <c r="AA956" s="16"/>
      <c r="AB956" s="16"/>
      <c r="AC956" s="16"/>
      <c r="AD956" s="16"/>
    </row>
    <row r="957" spans="2:30" ht="15.75" customHeight="1">
      <c r="B957" s="14"/>
      <c r="C957" s="14"/>
      <c r="D957" s="14"/>
      <c r="E957" s="14"/>
      <c r="F957" s="14"/>
      <c r="G957" s="14"/>
      <c r="H957" s="14"/>
      <c r="I957" s="14"/>
      <c r="J957" s="14"/>
      <c r="K957" s="14"/>
      <c r="L957" s="14"/>
      <c r="M957" s="14"/>
      <c r="N957" s="14"/>
      <c r="O957" s="16"/>
      <c r="P957" s="16"/>
      <c r="Q957" s="16"/>
      <c r="R957" s="16"/>
      <c r="S957" s="16"/>
      <c r="T957" s="16"/>
      <c r="U957" s="16"/>
      <c r="V957" s="16"/>
      <c r="W957" s="16"/>
      <c r="X957" s="16"/>
      <c r="Y957" s="16"/>
      <c r="Z957" s="16"/>
      <c r="AA957" s="16"/>
      <c r="AB957" s="16"/>
      <c r="AC957" s="16"/>
      <c r="AD957" s="16"/>
    </row>
    <row r="958" spans="2:30" ht="15.75" customHeight="1">
      <c r="B958" s="14"/>
      <c r="C958" s="14"/>
      <c r="D958" s="14"/>
      <c r="E958" s="14"/>
      <c r="F958" s="14"/>
      <c r="G958" s="14"/>
      <c r="H958" s="14"/>
      <c r="I958" s="14"/>
      <c r="J958" s="14"/>
      <c r="K958" s="14"/>
      <c r="L958" s="14"/>
      <c r="M958" s="14"/>
      <c r="N958" s="14"/>
      <c r="O958" s="16"/>
      <c r="P958" s="16"/>
      <c r="Q958" s="16"/>
      <c r="R958" s="16"/>
      <c r="S958" s="16"/>
      <c r="T958" s="16"/>
      <c r="U958" s="16"/>
      <c r="V958" s="16"/>
      <c r="W958" s="16"/>
      <c r="X958" s="16"/>
      <c r="Y958" s="16"/>
      <c r="Z958" s="16"/>
      <c r="AA958" s="16"/>
      <c r="AB958" s="16"/>
      <c r="AC958" s="16"/>
      <c r="AD958" s="16"/>
    </row>
    <row r="959" spans="2:30" ht="15.75" customHeight="1">
      <c r="B959" s="14"/>
      <c r="C959" s="14"/>
      <c r="D959" s="14"/>
      <c r="E959" s="14"/>
      <c r="F959" s="14"/>
      <c r="G959" s="14"/>
      <c r="H959" s="14"/>
      <c r="I959" s="14"/>
      <c r="J959" s="14"/>
      <c r="K959" s="14"/>
      <c r="L959" s="14"/>
      <c r="M959" s="14"/>
      <c r="N959" s="14"/>
      <c r="O959" s="16"/>
      <c r="P959" s="16"/>
      <c r="Q959" s="16"/>
      <c r="R959" s="16"/>
      <c r="S959" s="16"/>
      <c r="T959" s="16"/>
      <c r="U959" s="16"/>
      <c r="V959" s="16"/>
      <c r="W959" s="16"/>
      <c r="X959" s="16"/>
      <c r="Y959" s="16"/>
      <c r="Z959" s="16"/>
      <c r="AA959" s="16"/>
      <c r="AB959" s="16"/>
      <c r="AC959" s="16"/>
      <c r="AD959" s="16"/>
    </row>
    <row r="960" spans="2:30" ht="15.75" customHeight="1">
      <c r="B960" s="14"/>
      <c r="C960" s="14"/>
      <c r="D960" s="14"/>
      <c r="E960" s="14"/>
      <c r="F960" s="14"/>
      <c r="G960" s="14"/>
      <c r="H960" s="14"/>
      <c r="I960" s="14"/>
      <c r="J960" s="14"/>
      <c r="K960" s="14"/>
      <c r="L960" s="14"/>
      <c r="M960" s="14"/>
      <c r="N960" s="14"/>
      <c r="O960" s="16"/>
      <c r="P960" s="16"/>
      <c r="Q960" s="16"/>
      <c r="R960" s="16"/>
      <c r="S960" s="16"/>
      <c r="T960" s="16"/>
      <c r="U960" s="16"/>
      <c r="V960" s="16"/>
      <c r="W960" s="16"/>
      <c r="X960" s="16"/>
      <c r="Y960" s="16"/>
      <c r="Z960" s="16"/>
      <c r="AA960" s="16"/>
      <c r="AB960" s="16"/>
      <c r="AC960" s="16"/>
      <c r="AD960" s="16"/>
    </row>
    <row r="961" spans="2:30" ht="15.75" customHeight="1">
      <c r="B961" s="14"/>
      <c r="C961" s="14"/>
      <c r="D961" s="14"/>
      <c r="E961" s="14"/>
      <c r="F961" s="14"/>
      <c r="G961" s="14"/>
      <c r="H961" s="14"/>
      <c r="I961" s="14"/>
      <c r="J961" s="14"/>
      <c r="K961" s="14"/>
      <c r="L961" s="14"/>
      <c r="M961" s="14"/>
      <c r="N961" s="14"/>
      <c r="O961" s="16"/>
      <c r="P961" s="16"/>
      <c r="Q961" s="16"/>
      <c r="R961" s="16"/>
      <c r="S961" s="16"/>
      <c r="T961" s="16"/>
      <c r="U961" s="16"/>
      <c r="V961" s="16"/>
      <c r="W961" s="16"/>
      <c r="X961" s="16"/>
      <c r="Y961" s="16"/>
      <c r="Z961" s="16"/>
      <c r="AA961" s="16"/>
      <c r="AB961" s="16"/>
      <c r="AC961" s="16"/>
      <c r="AD961" s="16"/>
    </row>
    <row r="962" spans="2:30" ht="15.75" customHeight="1">
      <c r="B962" s="14"/>
      <c r="C962" s="14"/>
      <c r="D962" s="14"/>
      <c r="E962" s="14"/>
      <c r="F962" s="14"/>
      <c r="G962" s="14"/>
      <c r="H962" s="14"/>
      <c r="I962" s="14"/>
      <c r="J962" s="14"/>
      <c r="K962" s="14"/>
      <c r="L962" s="14"/>
      <c r="M962" s="14"/>
      <c r="N962" s="14"/>
      <c r="O962" s="16"/>
      <c r="P962" s="16"/>
      <c r="Q962" s="16"/>
      <c r="R962" s="16"/>
      <c r="S962" s="16"/>
      <c r="T962" s="16"/>
      <c r="U962" s="16"/>
      <c r="V962" s="16"/>
      <c r="W962" s="16"/>
      <c r="X962" s="16"/>
      <c r="Y962" s="16"/>
      <c r="Z962" s="16"/>
      <c r="AA962" s="16"/>
      <c r="AB962" s="16"/>
      <c r="AC962" s="16"/>
      <c r="AD962" s="16"/>
    </row>
    <row r="963" spans="2:30" ht="15.75" customHeight="1">
      <c r="B963" s="14"/>
      <c r="C963" s="14"/>
      <c r="D963" s="14"/>
      <c r="E963" s="14"/>
      <c r="F963" s="14"/>
      <c r="G963" s="14"/>
      <c r="H963" s="14"/>
      <c r="I963" s="14"/>
      <c r="J963" s="14"/>
      <c r="K963" s="14"/>
      <c r="L963" s="14"/>
      <c r="M963" s="14"/>
      <c r="N963" s="14"/>
      <c r="O963" s="16"/>
      <c r="P963" s="16"/>
      <c r="Q963" s="16"/>
      <c r="R963" s="16"/>
      <c r="S963" s="16"/>
      <c r="T963" s="16"/>
      <c r="U963" s="16"/>
      <c r="V963" s="16"/>
      <c r="W963" s="16"/>
      <c r="X963" s="16"/>
      <c r="Y963" s="16"/>
      <c r="Z963" s="16"/>
      <c r="AA963" s="16"/>
      <c r="AB963" s="16"/>
      <c r="AC963" s="16"/>
      <c r="AD963" s="16"/>
    </row>
    <row r="964" spans="2:30" ht="15.75" customHeight="1">
      <c r="B964" s="14"/>
      <c r="C964" s="14"/>
      <c r="D964" s="14"/>
      <c r="E964" s="14"/>
      <c r="F964" s="14"/>
      <c r="G964" s="14"/>
      <c r="H964" s="14"/>
      <c r="I964" s="14"/>
      <c r="J964" s="14"/>
      <c r="K964" s="14"/>
      <c r="L964" s="14"/>
      <c r="M964" s="14"/>
      <c r="N964" s="14"/>
      <c r="O964" s="16"/>
      <c r="P964" s="16"/>
      <c r="Q964" s="16"/>
      <c r="R964" s="16"/>
      <c r="S964" s="16"/>
      <c r="T964" s="16"/>
      <c r="U964" s="16"/>
      <c r="V964" s="16"/>
      <c r="W964" s="16"/>
      <c r="X964" s="16"/>
      <c r="Y964" s="16"/>
      <c r="Z964" s="16"/>
      <c r="AA964" s="16"/>
      <c r="AB964" s="16"/>
      <c r="AC964" s="16"/>
      <c r="AD964" s="16"/>
    </row>
    <row r="965" spans="2:30" ht="15.75" customHeight="1">
      <c r="B965" s="14"/>
      <c r="C965" s="14"/>
      <c r="D965" s="14"/>
      <c r="E965" s="14"/>
      <c r="F965" s="14"/>
      <c r="G965" s="14"/>
      <c r="H965" s="14"/>
      <c r="I965" s="14"/>
      <c r="J965" s="14"/>
      <c r="K965" s="14"/>
      <c r="L965" s="14"/>
      <c r="M965" s="14"/>
      <c r="N965" s="14"/>
      <c r="O965" s="16"/>
      <c r="P965" s="16"/>
      <c r="Q965" s="16"/>
      <c r="R965" s="16"/>
      <c r="S965" s="16"/>
      <c r="T965" s="16"/>
      <c r="U965" s="16"/>
      <c r="V965" s="16"/>
      <c r="W965" s="16"/>
      <c r="X965" s="16"/>
      <c r="Y965" s="16"/>
      <c r="Z965" s="16"/>
      <c r="AA965" s="16"/>
      <c r="AB965" s="16"/>
      <c r="AC965" s="16"/>
      <c r="AD965" s="16"/>
    </row>
    <row r="966" spans="2:30" ht="15.75" customHeight="1">
      <c r="B966" s="14"/>
      <c r="C966" s="14"/>
      <c r="D966" s="14"/>
      <c r="E966" s="14"/>
      <c r="F966" s="14"/>
      <c r="G966" s="14"/>
      <c r="H966" s="14"/>
      <c r="I966" s="14"/>
      <c r="J966" s="14"/>
      <c r="K966" s="14"/>
      <c r="L966" s="14"/>
      <c r="M966" s="14"/>
      <c r="N966" s="14"/>
      <c r="O966" s="16"/>
      <c r="P966" s="16"/>
      <c r="Q966" s="16"/>
      <c r="R966" s="16"/>
      <c r="S966" s="16"/>
      <c r="T966" s="16"/>
      <c r="U966" s="16"/>
      <c r="V966" s="16"/>
      <c r="W966" s="16"/>
      <c r="X966" s="16"/>
      <c r="Y966" s="16"/>
      <c r="Z966" s="16"/>
      <c r="AA966" s="16"/>
      <c r="AB966" s="16"/>
      <c r="AC966" s="16"/>
      <c r="AD966" s="16"/>
    </row>
    <row r="967" spans="2:30" ht="15.75" customHeight="1">
      <c r="B967" s="14"/>
      <c r="C967" s="14"/>
      <c r="D967" s="14"/>
      <c r="E967" s="14"/>
      <c r="F967" s="14"/>
      <c r="G967" s="14"/>
      <c r="H967" s="14"/>
      <c r="I967" s="14"/>
      <c r="J967" s="14"/>
      <c r="K967" s="14"/>
      <c r="L967" s="14"/>
      <c r="M967" s="14"/>
      <c r="N967" s="14"/>
      <c r="O967" s="16"/>
      <c r="P967" s="16"/>
      <c r="Q967" s="16"/>
      <c r="R967" s="16"/>
      <c r="S967" s="16"/>
      <c r="T967" s="16"/>
      <c r="U967" s="16"/>
      <c r="V967" s="16"/>
      <c r="W967" s="16"/>
      <c r="X967" s="16"/>
      <c r="Y967" s="16"/>
      <c r="Z967" s="16"/>
      <c r="AA967" s="16"/>
      <c r="AB967" s="16"/>
      <c r="AC967" s="16"/>
      <c r="AD967" s="16"/>
    </row>
    <row r="968" spans="2:30" ht="15.75" customHeight="1">
      <c r="B968" s="14"/>
      <c r="C968" s="14"/>
      <c r="D968" s="14"/>
      <c r="E968" s="14"/>
      <c r="F968" s="14"/>
      <c r="G968" s="14"/>
      <c r="H968" s="14"/>
      <c r="I968" s="14"/>
      <c r="J968" s="14"/>
      <c r="K968" s="14"/>
      <c r="L968" s="14"/>
      <c r="M968" s="14"/>
      <c r="N968" s="14"/>
      <c r="O968" s="16"/>
      <c r="P968" s="16"/>
      <c r="Q968" s="16"/>
      <c r="R968" s="16"/>
      <c r="S968" s="16"/>
      <c r="T968" s="16"/>
      <c r="U968" s="16"/>
      <c r="V968" s="16"/>
      <c r="W968" s="16"/>
      <c r="X968" s="16"/>
      <c r="Y968" s="16"/>
      <c r="Z968" s="16"/>
      <c r="AA968" s="16"/>
      <c r="AB968" s="16"/>
      <c r="AC968" s="16"/>
      <c r="AD968" s="16"/>
    </row>
    <row r="969" spans="2:30" ht="15.75" customHeight="1">
      <c r="B969" s="14"/>
      <c r="C969" s="14"/>
      <c r="D969" s="14"/>
      <c r="E969" s="14"/>
      <c r="F969" s="14"/>
      <c r="G969" s="14"/>
      <c r="H969" s="14"/>
      <c r="I969" s="14"/>
      <c r="J969" s="14"/>
      <c r="K969" s="14"/>
      <c r="L969" s="14"/>
      <c r="M969" s="14"/>
      <c r="N969" s="14"/>
      <c r="O969" s="16"/>
      <c r="P969" s="16"/>
      <c r="Q969" s="16"/>
      <c r="R969" s="16"/>
      <c r="S969" s="16"/>
      <c r="T969" s="16"/>
      <c r="U969" s="16"/>
      <c r="V969" s="16"/>
      <c r="W969" s="16"/>
      <c r="X969" s="16"/>
      <c r="Y969" s="16"/>
      <c r="Z969" s="16"/>
      <c r="AA969" s="16"/>
      <c r="AB969" s="16"/>
      <c r="AC969" s="16"/>
      <c r="AD969" s="16"/>
    </row>
    <row r="970" spans="2:30" ht="15.75" customHeight="1">
      <c r="B970" s="14"/>
      <c r="C970" s="14"/>
      <c r="D970" s="14"/>
      <c r="E970" s="14"/>
      <c r="F970" s="14"/>
      <c r="G970" s="14"/>
      <c r="H970" s="14"/>
      <c r="I970" s="14"/>
      <c r="J970" s="14"/>
      <c r="K970" s="14"/>
      <c r="L970" s="14"/>
      <c r="M970" s="14"/>
      <c r="N970" s="14"/>
      <c r="O970" s="16"/>
      <c r="P970" s="16"/>
      <c r="Q970" s="16"/>
      <c r="R970" s="16"/>
      <c r="S970" s="16"/>
      <c r="T970" s="16"/>
      <c r="U970" s="16"/>
      <c r="V970" s="16"/>
      <c r="W970" s="16"/>
      <c r="X970" s="16"/>
      <c r="Y970" s="16"/>
      <c r="Z970" s="16"/>
      <c r="AA970" s="16"/>
      <c r="AB970" s="16"/>
      <c r="AC970" s="16"/>
      <c r="AD970" s="16"/>
    </row>
    <row r="971" spans="2:30" ht="15.75" customHeight="1">
      <c r="B971" s="14"/>
      <c r="C971" s="14"/>
      <c r="D971" s="14"/>
      <c r="E971" s="14"/>
      <c r="F971" s="14"/>
      <c r="G971" s="14"/>
      <c r="H971" s="14"/>
      <c r="I971" s="14"/>
      <c r="J971" s="14"/>
      <c r="K971" s="14"/>
      <c r="L971" s="14"/>
      <c r="M971" s="14"/>
      <c r="N971" s="14"/>
      <c r="O971" s="16"/>
      <c r="P971" s="16"/>
      <c r="Q971" s="16"/>
      <c r="R971" s="16"/>
      <c r="S971" s="16"/>
      <c r="T971" s="16"/>
      <c r="U971" s="16"/>
      <c r="V971" s="16"/>
      <c r="W971" s="16"/>
      <c r="X971" s="16"/>
      <c r="Y971" s="16"/>
      <c r="Z971" s="16"/>
      <c r="AA971" s="16"/>
      <c r="AB971" s="16"/>
      <c r="AC971" s="16"/>
      <c r="AD971" s="16"/>
    </row>
    <row r="972" spans="2:30" ht="15.75" customHeight="1">
      <c r="B972" s="14"/>
      <c r="C972" s="14"/>
      <c r="D972" s="14"/>
      <c r="E972" s="14"/>
      <c r="F972" s="14"/>
      <c r="G972" s="14"/>
      <c r="H972" s="14"/>
      <c r="I972" s="14"/>
      <c r="J972" s="14"/>
      <c r="K972" s="14"/>
      <c r="L972" s="14"/>
      <c r="M972" s="14"/>
      <c r="N972" s="14"/>
      <c r="O972" s="16"/>
      <c r="P972" s="16"/>
      <c r="Q972" s="16"/>
      <c r="R972" s="16"/>
      <c r="S972" s="16"/>
      <c r="T972" s="16"/>
      <c r="U972" s="16"/>
      <c r="V972" s="16"/>
      <c r="W972" s="16"/>
      <c r="X972" s="16"/>
      <c r="Y972" s="16"/>
      <c r="Z972" s="16"/>
      <c r="AA972" s="16"/>
      <c r="AB972" s="16"/>
      <c r="AC972" s="16"/>
      <c r="AD972" s="16"/>
    </row>
    <row r="973" spans="2:30" ht="15.75" customHeight="1">
      <c r="B973" s="14"/>
      <c r="C973" s="14"/>
      <c r="D973" s="14"/>
      <c r="E973" s="14"/>
      <c r="F973" s="14"/>
      <c r="G973" s="14"/>
      <c r="H973" s="14"/>
      <c r="I973" s="14"/>
      <c r="J973" s="14"/>
      <c r="K973" s="14"/>
      <c r="L973" s="14"/>
      <c r="M973" s="14"/>
      <c r="N973" s="14"/>
      <c r="O973" s="16"/>
      <c r="P973" s="16"/>
      <c r="Q973" s="16"/>
      <c r="R973" s="16"/>
      <c r="S973" s="16"/>
      <c r="T973" s="16"/>
      <c r="U973" s="16"/>
      <c r="V973" s="16"/>
      <c r="W973" s="16"/>
      <c r="X973" s="16"/>
      <c r="Y973" s="16"/>
      <c r="Z973" s="16"/>
      <c r="AA973" s="16"/>
      <c r="AB973" s="16"/>
      <c r="AC973" s="16"/>
      <c r="AD973" s="16"/>
    </row>
    <row r="974" spans="2:30" ht="15.75" customHeight="1">
      <c r="B974" s="14"/>
      <c r="C974" s="14"/>
      <c r="D974" s="14"/>
      <c r="E974" s="14"/>
      <c r="F974" s="14"/>
      <c r="G974" s="14"/>
      <c r="H974" s="14"/>
      <c r="I974" s="14"/>
      <c r="J974" s="14"/>
      <c r="K974" s="14"/>
      <c r="L974" s="14"/>
      <c r="M974" s="14"/>
      <c r="N974" s="14"/>
      <c r="O974" s="16"/>
      <c r="P974" s="16"/>
      <c r="Q974" s="16"/>
      <c r="R974" s="16"/>
      <c r="S974" s="16"/>
      <c r="T974" s="16"/>
      <c r="U974" s="16"/>
      <c r="V974" s="16"/>
      <c r="W974" s="16"/>
      <c r="X974" s="16"/>
      <c r="Y974" s="16"/>
      <c r="Z974" s="16"/>
      <c r="AA974" s="16"/>
      <c r="AB974" s="16"/>
      <c r="AC974" s="16"/>
      <c r="AD974" s="16"/>
    </row>
    <row r="975" spans="2:30" ht="15.75" customHeight="1">
      <c r="B975" s="14"/>
      <c r="C975" s="14"/>
      <c r="D975" s="14"/>
      <c r="E975" s="14"/>
      <c r="F975" s="14"/>
      <c r="G975" s="14"/>
      <c r="H975" s="14"/>
      <c r="I975" s="14"/>
      <c r="J975" s="14"/>
      <c r="K975" s="14"/>
      <c r="L975" s="14"/>
      <c r="M975" s="14"/>
      <c r="N975" s="14"/>
      <c r="O975" s="16"/>
      <c r="P975" s="16"/>
      <c r="Q975" s="16"/>
      <c r="R975" s="16"/>
      <c r="S975" s="16"/>
      <c r="T975" s="16"/>
      <c r="U975" s="16"/>
      <c r="V975" s="16"/>
      <c r="W975" s="16"/>
      <c r="X975" s="16"/>
      <c r="Y975" s="16"/>
      <c r="Z975" s="16"/>
      <c r="AA975" s="16"/>
      <c r="AB975" s="16"/>
      <c r="AC975" s="16"/>
      <c r="AD975" s="16"/>
    </row>
    <row r="976" spans="2:30" ht="15.75" customHeight="1">
      <c r="B976" s="14"/>
      <c r="C976" s="14"/>
      <c r="D976" s="14"/>
      <c r="E976" s="14"/>
      <c r="F976" s="14"/>
      <c r="G976" s="14"/>
      <c r="H976" s="14"/>
      <c r="I976" s="14"/>
      <c r="J976" s="14"/>
      <c r="K976" s="14"/>
      <c r="L976" s="14"/>
      <c r="M976" s="14"/>
      <c r="N976" s="14"/>
      <c r="O976" s="16"/>
      <c r="P976" s="16"/>
      <c r="Q976" s="16"/>
      <c r="R976" s="16"/>
      <c r="S976" s="16"/>
      <c r="T976" s="16"/>
      <c r="U976" s="16"/>
      <c r="V976" s="16"/>
      <c r="W976" s="16"/>
      <c r="X976" s="16"/>
      <c r="Y976" s="16"/>
      <c r="Z976" s="16"/>
      <c r="AA976" s="16"/>
      <c r="AB976" s="16"/>
      <c r="AC976" s="16"/>
      <c r="AD976" s="16"/>
    </row>
    <row r="977" spans="2:30" ht="15.75" customHeight="1">
      <c r="B977" s="14"/>
      <c r="C977" s="14"/>
      <c r="D977" s="14"/>
      <c r="E977" s="14"/>
      <c r="F977" s="14"/>
      <c r="G977" s="14"/>
      <c r="H977" s="14"/>
      <c r="I977" s="14"/>
      <c r="J977" s="14"/>
      <c r="K977" s="14"/>
      <c r="L977" s="14"/>
      <c r="M977" s="14"/>
      <c r="N977" s="14"/>
      <c r="O977" s="16"/>
      <c r="P977" s="16"/>
      <c r="Q977" s="16"/>
      <c r="R977" s="16"/>
      <c r="S977" s="16"/>
      <c r="T977" s="16"/>
      <c r="U977" s="16"/>
      <c r="V977" s="16"/>
      <c r="W977" s="16"/>
      <c r="X977" s="16"/>
      <c r="Y977" s="16"/>
      <c r="Z977" s="16"/>
      <c r="AA977" s="16"/>
      <c r="AB977" s="16"/>
      <c r="AC977" s="16"/>
      <c r="AD977" s="16"/>
    </row>
    <row r="978" spans="2:30" ht="15.75" customHeight="1">
      <c r="B978" s="14"/>
      <c r="C978" s="14"/>
      <c r="D978" s="14"/>
      <c r="E978" s="14"/>
      <c r="F978" s="14"/>
      <c r="G978" s="14"/>
      <c r="H978" s="14"/>
      <c r="I978" s="14"/>
      <c r="J978" s="14"/>
      <c r="K978" s="14"/>
      <c r="L978" s="14"/>
      <c r="M978" s="14"/>
      <c r="N978" s="14"/>
      <c r="O978" s="16"/>
      <c r="P978" s="16"/>
      <c r="Q978" s="16"/>
      <c r="R978" s="16"/>
      <c r="S978" s="16"/>
      <c r="T978" s="16"/>
      <c r="U978" s="16"/>
      <c r="V978" s="16"/>
      <c r="W978" s="16"/>
      <c r="X978" s="16"/>
      <c r="Y978" s="16"/>
      <c r="Z978" s="16"/>
      <c r="AA978" s="16"/>
      <c r="AB978" s="16"/>
      <c r="AC978" s="16"/>
      <c r="AD978" s="16"/>
    </row>
    <row r="979" spans="2:30" ht="15.75" customHeight="1">
      <c r="B979" s="14"/>
      <c r="C979" s="14"/>
      <c r="D979" s="14"/>
      <c r="E979" s="14"/>
      <c r="F979" s="14"/>
      <c r="G979" s="14"/>
      <c r="H979" s="14"/>
      <c r="I979" s="14"/>
      <c r="J979" s="14"/>
      <c r="K979" s="14"/>
      <c r="L979" s="14"/>
      <c r="M979" s="14"/>
      <c r="N979" s="14"/>
      <c r="O979" s="16"/>
      <c r="P979" s="16"/>
      <c r="Q979" s="16"/>
      <c r="R979" s="16"/>
      <c r="S979" s="16"/>
      <c r="T979" s="16"/>
      <c r="U979" s="16"/>
      <c r="V979" s="16"/>
      <c r="W979" s="16"/>
      <c r="X979" s="16"/>
      <c r="Y979" s="16"/>
      <c r="Z979" s="16"/>
      <c r="AA979" s="16"/>
      <c r="AB979" s="16"/>
      <c r="AC979" s="16"/>
      <c r="AD979" s="16"/>
    </row>
    <row r="980" spans="2:30" ht="15.75" customHeight="1">
      <c r="B980" s="14"/>
      <c r="C980" s="14"/>
      <c r="D980" s="14"/>
      <c r="E980" s="14"/>
      <c r="F980" s="14"/>
      <c r="G980" s="14"/>
      <c r="H980" s="14"/>
      <c r="I980" s="14"/>
      <c r="J980" s="14"/>
      <c r="K980" s="14"/>
      <c r="L980" s="14"/>
      <c r="M980" s="14"/>
      <c r="N980" s="14"/>
      <c r="O980" s="16"/>
      <c r="P980" s="16"/>
      <c r="Q980" s="16"/>
      <c r="R980" s="16"/>
      <c r="S980" s="16"/>
      <c r="T980" s="16"/>
      <c r="U980" s="16"/>
      <c r="V980" s="16"/>
      <c r="W980" s="16"/>
      <c r="X980" s="16"/>
      <c r="Y980" s="16"/>
      <c r="Z980" s="16"/>
      <c r="AA980" s="16"/>
      <c r="AB980" s="16"/>
      <c r="AC980" s="16"/>
      <c r="AD980" s="16"/>
    </row>
    <row r="981" spans="2:30" ht="15.75" customHeight="1">
      <c r="B981" s="14"/>
      <c r="C981" s="14"/>
      <c r="D981" s="14"/>
      <c r="E981" s="14"/>
      <c r="F981" s="14"/>
      <c r="G981" s="14"/>
      <c r="H981" s="14"/>
      <c r="I981" s="14"/>
      <c r="J981" s="14"/>
      <c r="K981" s="14"/>
      <c r="L981" s="14"/>
      <c r="M981" s="14"/>
      <c r="N981" s="14"/>
      <c r="O981" s="16"/>
      <c r="P981" s="16"/>
      <c r="Q981" s="16"/>
      <c r="R981" s="16"/>
      <c r="S981" s="16"/>
      <c r="T981" s="16"/>
      <c r="U981" s="16"/>
      <c r="V981" s="16"/>
      <c r="W981" s="16"/>
      <c r="X981" s="16"/>
      <c r="Y981" s="16"/>
      <c r="Z981" s="16"/>
      <c r="AA981" s="16"/>
      <c r="AB981" s="16"/>
      <c r="AC981" s="16"/>
      <c r="AD981" s="16"/>
    </row>
    <row r="982" spans="2:30" ht="15.75" customHeight="1">
      <c r="B982" s="14"/>
      <c r="C982" s="14"/>
      <c r="D982" s="14"/>
      <c r="E982" s="14"/>
      <c r="F982" s="14"/>
      <c r="G982" s="14"/>
      <c r="H982" s="14"/>
      <c r="I982" s="14"/>
      <c r="J982" s="14"/>
      <c r="K982" s="14"/>
      <c r="L982" s="14"/>
      <c r="M982" s="14"/>
      <c r="N982" s="14"/>
      <c r="O982" s="16"/>
      <c r="P982" s="16"/>
      <c r="Q982" s="16"/>
      <c r="R982" s="16"/>
      <c r="S982" s="16"/>
      <c r="T982" s="16"/>
      <c r="U982" s="16"/>
      <c r="V982" s="16"/>
      <c r="W982" s="16"/>
      <c r="X982" s="16"/>
      <c r="Y982" s="16"/>
      <c r="Z982" s="16"/>
      <c r="AA982" s="16"/>
      <c r="AB982" s="16"/>
      <c r="AC982" s="16"/>
      <c r="AD982" s="16"/>
    </row>
    <row r="983" spans="2:30" ht="15.75" customHeight="1">
      <c r="B983" s="14"/>
      <c r="C983" s="14"/>
      <c r="D983" s="14"/>
      <c r="E983" s="14"/>
      <c r="F983" s="14"/>
      <c r="G983" s="14"/>
      <c r="H983" s="14"/>
      <c r="I983" s="14"/>
      <c r="J983" s="14"/>
      <c r="K983" s="14"/>
      <c r="L983" s="14"/>
      <c r="M983" s="14"/>
      <c r="N983" s="14"/>
      <c r="O983" s="16"/>
      <c r="P983" s="16"/>
      <c r="Q983" s="16"/>
      <c r="R983" s="16"/>
      <c r="S983" s="16"/>
      <c r="T983" s="16"/>
      <c r="U983" s="16"/>
      <c r="V983" s="16"/>
      <c r="W983" s="16"/>
      <c r="X983" s="16"/>
      <c r="Y983" s="16"/>
      <c r="Z983" s="16"/>
      <c r="AA983" s="16"/>
      <c r="AB983" s="16"/>
      <c r="AC983" s="16"/>
      <c r="AD983" s="16"/>
    </row>
    <row r="984" spans="2:30" ht="15.75" customHeight="1">
      <c r="B984" s="14"/>
      <c r="C984" s="14"/>
      <c r="D984" s="14"/>
      <c r="E984" s="14"/>
      <c r="F984" s="14"/>
      <c r="G984" s="14"/>
      <c r="H984" s="14"/>
      <c r="I984" s="14"/>
      <c r="J984" s="14"/>
      <c r="K984" s="14"/>
      <c r="L984" s="14"/>
      <c r="M984" s="14"/>
      <c r="N984" s="14"/>
      <c r="O984" s="16"/>
      <c r="P984" s="16"/>
      <c r="Q984" s="16"/>
      <c r="R984" s="16"/>
      <c r="S984" s="16"/>
      <c r="T984" s="16"/>
      <c r="U984" s="16"/>
      <c r="V984" s="16"/>
      <c r="W984" s="16"/>
      <c r="X984" s="16"/>
      <c r="Y984" s="16"/>
      <c r="Z984" s="16"/>
      <c r="AA984" s="16"/>
      <c r="AB984" s="16"/>
      <c r="AC984" s="16"/>
      <c r="AD984" s="16"/>
    </row>
    <row r="985" spans="2:30" ht="15.75" customHeight="1">
      <c r="B985" s="14"/>
      <c r="C985" s="14"/>
      <c r="D985" s="14"/>
      <c r="E985" s="14"/>
      <c r="F985" s="14"/>
      <c r="G985" s="14"/>
      <c r="H985" s="14"/>
      <c r="I985" s="14"/>
      <c r="J985" s="14"/>
      <c r="K985" s="14"/>
      <c r="L985" s="14"/>
      <c r="M985" s="14"/>
      <c r="N985" s="14"/>
      <c r="O985" s="16"/>
      <c r="P985" s="16"/>
      <c r="Q985" s="16"/>
      <c r="R985" s="16"/>
      <c r="S985" s="16"/>
      <c r="T985" s="16"/>
      <c r="U985" s="16"/>
      <c r="V985" s="16"/>
      <c r="W985" s="16"/>
      <c r="X985" s="16"/>
      <c r="Y985" s="16"/>
      <c r="Z985" s="16"/>
      <c r="AA985" s="16"/>
      <c r="AB985" s="16"/>
      <c r="AC985" s="16"/>
      <c r="AD985" s="16"/>
    </row>
    <row r="986" spans="2:30" ht="15.75" customHeight="1">
      <c r="B986" s="14"/>
      <c r="C986" s="14"/>
      <c r="D986" s="14"/>
      <c r="E986" s="14"/>
      <c r="F986" s="14"/>
      <c r="G986" s="14"/>
      <c r="H986" s="14"/>
      <c r="I986" s="14"/>
      <c r="J986" s="14"/>
      <c r="K986" s="14"/>
      <c r="L986" s="14"/>
      <c r="M986" s="14"/>
      <c r="N986" s="14"/>
      <c r="O986" s="16"/>
      <c r="P986" s="16"/>
      <c r="Q986" s="16"/>
      <c r="R986" s="16"/>
      <c r="S986" s="16"/>
      <c r="T986" s="16"/>
      <c r="U986" s="16"/>
      <c r="V986" s="16"/>
      <c r="W986" s="16"/>
      <c r="X986" s="16"/>
      <c r="Y986" s="16"/>
      <c r="Z986" s="16"/>
      <c r="AA986" s="16"/>
      <c r="AB986" s="16"/>
      <c r="AC986" s="16"/>
      <c r="AD986" s="16"/>
    </row>
    <row r="987" spans="2:30" ht="15.75" customHeight="1">
      <c r="B987" s="14"/>
      <c r="C987" s="14"/>
      <c r="D987" s="14"/>
      <c r="E987" s="14"/>
      <c r="F987" s="14"/>
      <c r="G987" s="14"/>
      <c r="H987" s="14"/>
      <c r="I987" s="14"/>
      <c r="J987" s="14"/>
      <c r="K987" s="14"/>
      <c r="L987" s="14"/>
      <c r="M987" s="14"/>
      <c r="N987" s="14"/>
      <c r="O987" s="16"/>
      <c r="P987" s="16"/>
      <c r="Q987" s="16"/>
      <c r="R987" s="16"/>
      <c r="S987" s="16"/>
      <c r="T987" s="16"/>
      <c r="U987" s="16"/>
      <c r="V987" s="16"/>
      <c r="W987" s="16"/>
      <c r="X987" s="16"/>
      <c r="Y987" s="16"/>
      <c r="Z987" s="16"/>
      <c r="AA987" s="16"/>
      <c r="AB987" s="16"/>
      <c r="AC987" s="16"/>
      <c r="AD987" s="16"/>
    </row>
    <row r="988" spans="2:30" ht="15.75" customHeight="1">
      <c r="B988" s="14"/>
      <c r="C988" s="14"/>
      <c r="D988" s="14"/>
      <c r="E988" s="14"/>
      <c r="F988" s="14"/>
      <c r="G988" s="14"/>
      <c r="H988" s="14"/>
      <c r="I988" s="14"/>
      <c r="J988" s="14"/>
      <c r="K988" s="14"/>
      <c r="L988" s="14"/>
      <c r="M988" s="14"/>
      <c r="N988" s="14"/>
      <c r="O988" s="16"/>
      <c r="P988" s="16"/>
      <c r="Q988" s="16"/>
      <c r="R988" s="16"/>
      <c r="S988" s="16"/>
      <c r="T988" s="16"/>
      <c r="U988" s="16"/>
      <c r="V988" s="16"/>
      <c r="W988" s="16"/>
      <c r="X988" s="16"/>
      <c r="Y988" s="16"/>
      <c r="Z988" s="16"/>
      <c r="AA988" s="16"/>
      <c r="AB988" s="16"/>
      <c r="AC988" s="16"/>
      <c r="AD988" s="16"/>
    </row>
    <row r="989" spans="2:30" ht="15.75" customHeight="1">
      <c r="B989" s="14"/>
      <c r="C989" s="14"/>
      <c r="D989" s="14"/>
      <c r="E989" s="14"/>
      <c r="F989" s="14"/>
      <c r="G989" s="14"/>
      <c r="H989" s="14"/>
      <c r="I989" s="14"/>
      <c r="J989" s="14"/>
      <c r="K989" s="14"/>
      <c r="L989" s="14"/>
      <c r="M989" s="14"/>
      <c r="N989" s="14"/>
      <c r="O989" s="16"/>
      <c r="P989" s="16"/>
      <c r="Q989" s="16"/>
      <c r="R989" s="16"/>
      <c r="S989" s="16"/>
      <c r="T989" s="16"/>
      <c r="U989" s="16"/>
      <c r="V989" s="16"/>
      <c r="W989" s="16"/>
      <c r="X989" s="16"/>
      <c r="Y989" s="16"/>
      <c r="Z989" s="16"/>
      <c r="AA989" s="16"/>
      <c r="AB989" s="16"/>
      <c r="AC989" s="16"/>
      <c r="AD989" s="16"/>
    </row>
    <row r="990" spans="2:30" ht="15.75" customHeight="1">
      <c r="B990" s="14"/>
      <c r="C990" s="14"/>
      <c r="D990" s="14"/>
      <c r="E990" s="14"/>
      <c r="F990" s="14"/>
      <c r="G990" s="14"/>
      <c r="H990" s="14"/>
      <c r="I990" s="14"/>
      <c r="J990" s="14"/>
      <c r="K990" s="14"/>
      <c r="L990" s="14"/>
      <c r="M990" s="14"/>
      <c r="N990" s="14"/>
      <c r="O990" s="16"/>
      <c r="P990" s="16"/>
      <c r="Q990" s="16"/>
      <c r="R990" s="16"/>
      <c r="S990" s="16"/>
      <c r="T990" s="16"/>
      <c r="U990" s="16"/>
      <c r="V990" s="16"/>
      <c r="W990" s="16"/>
      <c r="X990" s="16"/>
      <c r="Y990" s="16"/>
      <c r="Z990" s="16"/>
      <c r="AA990" s="16"/>
      <c r="AB990" s="16"/>
      <c r="AC990" s="16"/>
      <c r="AD990" s="16"/>
    </row>
    <row r="991" spans="2:30" ht="15.75" customHeight="1">
      <c r="B991" s="14"/>
      <c r="C991" s="14"/>
      <c r="D991" s="14"/>
      <c r="E991" s="14"/>
      <c r="F991" s="14"/>
      <c r="G991" s="14"/>
      <c r="H991" s="14"/>
      <c r="I991" s="14"/>
      <c r="J991" s="14"/>
      <c r="K991" s="14"/>
      <c r="L991" s="14"/>
      <c r="M991" s="14"/>
      <c r="N991" s="14"/>
      <c r="O991" s="16"/>
      <c r="P991" s="16"/>
      <c r="Q991" s="16"/>
      <c r="R991" s="16"/>
      <c r="S991" s="16"/>
      <c r="T991" s="16"/>
      <c r="U991" s="16"/>
      <c r="V991" s="16"/>
      <c r="W991" s="16"/>
      <c r="X991" s="16"/>
      <c r="Y991" s="16"/>
      <c r="Z991" s="16"/>
      <c r="AA991" s="16"/>
      <c r="AB991" s="16"/>
      <c r="AC991" s="16"/>
      <c r="AD991" s="16"/>
    </row>
    <row r="992" spans="2:30" ht="15.75" customHeight="1">
      <c r="B992" s="14"/>
      <c r="C992" s="14"/>
      <c r="D992" s="14"/>
      <c r="E992" s="14"/>
      <c r="F992" s="14"/>
      <c r="G992" s="14"/>
      <c r="H992" s="14"/>
      <c r="I992" s="14"/>
      <c r="J992" s="14"/>
      <c r="K992" s="14"/>
      <c r="L992" s="14"/>
      <c r="M992" s="14"/>
      <c r="N992" s="14"/>
      <c r="O992" s="16"/>
      <c r="P992" s="16"/>
      <c r="Q992" s="16"/>
      <c r="R992" s="16"/>
      <c r="S992" s="16"/>
      <c r="T992" s="16"/>
      <c r="U992" s="16"/>
      <c r="V992" s="16"/>
      <c r="W992" s="16"/>
      <c r="X992" s="16"/>
      <c r="Y992" s="16"/>
      <c r="Z992" s="16"/>
      <c r="AA992" s="16"/>
      <c r="AB992" s="16"/>
      <c r="AC992" s="16"/>
      <c r="AD992" s="16"/>
    </row>
    <row r="993" spans="2:30" ht="15.75" customHeight="1">
      <c r="B993" s="14"/>
      <c r="C993" s="14"/>
      <c r="D993" s="14"/>
      <c r="E993" s="14"/>
      <c r="F993" s="14"/>
      <c r="G993" s="14"/>
      <c r="H993" s="14"/>
      <c r="I993" s="14"/>
      <c r="J993" s="14"/>
      <c r="K993" s="14"/>
      <c r="L993" s="14"/>
      <c r="M993" s="14"/>
      <c r="N993" s="14"/>
      <c r="O993" s="16"/>
      <c r="P993" s="16"/>
      <c r="Q993" s="16"/>
      <c r="R993" s="16"/>
      <c r="S993" s="16"/>
      <c r="T993" s="16"/>
      <c r="U993" s="16"/>
      <c r="V993" s="16"/>
      <c r="W993" s="16"/>
      <c r="X993" s="16"/>
      <c r="Y993" s="16"/>
      <c r="Z993" s="16"/>
      <c r="AA993" s="16"/>
      <c r="AB993" s="16"/>
      <c r="AC993" s="16"/>
      <c r="AD993" s="16"/>
    </row>
    <row r="994" spans="2:30" ht="15.75" customHeight="1">
      <c r="B994" s="14"/>
      <c r="C994" s="14"/>
      <c r="D994" s="14"/>
      <c r="E994" s="14"/>
      <c r="F994" s="14"/>
      <c r="G994" s="14"/>
      <c r="H994" s="14"/>
      <c r="I994" s="14"/>
      <c r="J994" s="14"/>
      <c r="K994" s="14"/>
      <c r="L994" s="14"/>
      <c r="M994" s="14"/>
      <c r="N994" s="14"/>
      <c r="O994" s="16"/>
      <c r="P994" s="16"/>
      <c r="Q994" s="16"/>
      <c r="R994" s="16"/>
      <c r="S994" s="16"/>
      <c r="T994" s="16"/>
      <c r="U994" s="16"/>
      <c r="V994" s="16"/>
      <c r="W994" s="16"/>
      <c r="X994" s="16"/>
      <c r="Y994" s="16"/>
      <c r="Z994" s="16"/>
      <c r="AA994" s="16"/>
      <c r="AB994" s="16"/>
      <c r="AC994" s="16"/>
      <c r="AD994" s="16"/>
    </row>
    <row r="995" spans="2:30" ht="15.75" customHeight="1">
      <c r="B995" s="14"/>
      <c r="C995" s="14"/>
      <c r="D995" s="14"/>
      <c r="E995" s="14"/>
      <c r="F995" s="14"/>
      <c r="G995" s="14"/>
      <c r="H995" s="14"/>
      <c r="I995" s="14"/>
      <c r="J995" s="14"/>
      <c r="K995" s="14"/>
      <c r="L995" s="14"/>
      <c r="M995" s="14"/>
      <c r="N995" s="14"/>
      <c r="O995" s="16"/>
      <c r="P995" s="16"/>
      <c r="Q995" s="16"/>
      <c r="R995" s="16"/>
      <c r="S995" s="16"/>
      <c r="T995" s="16"/>
      <c r="U995" s="16"/>
      <c r="V995" s="16"/>
      <c r="W995" s="16"/>
      <c r="X995" s="16"/>
      <c r="Y995" s="16"/>
      <c r="Z995" s="16"/>
      <c r="AA995" s="16"/>
      <c r="AB995" s="16"/>
      <c r="AC995" s="16"/>
      <c r="AD995" s="16"/>
    </row>
    <row r="996" spans="2:30" ht="15.75" customHeight="1">
      <c r="B996" s="14"/>
      <c r="C996" s="14"/>
      <c r="D996" s="14"/>
      <c r="E996" s="14"/>
      <c r="F996" s="14"/>
      <c r="G996" s="14"/>
      <c r="H996" s="14"/>
      <c r="I996" s="14"/>
      <c r="J996" s="14"/>
      <c r="K996" s="14"/>
      <c r="L996" s="14"/>
      <c r="M996" s="14"/>
      <c r="N996" s="14"/>
      <c r="O996" s="16"/>
      <c r="P996" s="16"/>
      <c r="Q996" s="16"/>
      <c r="R996" s="16"/>
      <c r="S996" s="16"/>
      <c r="T996" s="16"/>
      <c r="U996" s="16"/>
      <c r="V996" s="16"/>
      <c r="W996" s="16"/>
      <c r="X996" s="16"/>
      <c r="Y996" s="16"/>
      <c r="Z996" s="16"/>
      <c r="AA996" s="16"/>
      <c r="AB996" s="16"/>
      <c r="AC996" s="16"/>
      <c r="AD996" s="16"/>
    </row>
    <row r="997" spans="2:30" ht="15.75" customHeight="1">
      <c r="B997" s="14"/>
      <c r="C997" s="14"/>
      <c r="D997" s="14"/>
      <c r="E997" s="14"/>
      <c r="F997" s="14"/>
      <c r="G997" s="14"/>
      <c r="H997" s="14"/>
      <c r="I997" s="14"/>
      <c r="J997" s="14"/>
      <c r="K997" s="14"/>
      <c r="L997" s="14"/>
      <c r="M997" s="14"/>
      <c r="N997" s="14"/>
      <c r="O997" s="16"/>
      <c r="P997" s="16"/>
      <c r="Q997" s="16"/>
      <c r="R997" s="16"/>
      <c r="S997" s="16"/>
      <c r="T997" s="16"/>
      <c r="U997" s="16"/>
      <c r="V997" s="16"/>
      <c r="W997" s="16"/>
      <c r="X997" s="16"/>
      <c r="Y997" s="16"/>
      <c r="Z997" s="16"/>
      <c r="AA997" s="16"/>
      <c r="AB997" s="16"/>
      <c r="AC997" s="16"/>
      <c r="AD997" s="16"/>
    </row>
  </sheetData>
  <sheetProtection sheet="1" scenarios="1" formatCells="0" formatColumns="0" formatRows="0" sort="0" autoFilter="0"/>
  <mergeCells count="3">
    <mergeCell ref="D7:K8"/>
    <mergeCell ref="D9:L9"/>
    <mergeCell ref="D4:F4"/>
  </mergeCells>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B5E2B"/>
  </sheetPr>
  <dimension ref="A1:CO1002"/>
  <sheetViews>
    <sheetView showGridLines="0" topLeftCell="C1" zoomScaleNormal="100" workbookViewId="0"/>
  </sheetViews>
  <sheetFormatPr baseColWidth="10" defaultColWidth="11.28515625" defaultRowHeight="15" customHeight="1"/>
  <cols>
    <col min="1" max="1" width="1.28515625" customWidth="1"/>
    <col min="2" max="2" width="1.28515625" style="160" customWidth="1"/>
    <col min="3" max="3" width="1.28515625" customWidth="1"/>
    <col min="4" max="15" width="6" customWidth="1"/>
    <col min="16" max="16" width="4.85546875" customWidth="1"/>
    <col min="17" max="28" width="6" customWidth="1"/>
    <col min="29" max="29" width="4.5703125" customWidth="1"/>
    <col min="30" max="41" width="6" customWidth="1"/>
    <col min="42" max="50" width="1.28515625" customWidth="1"/>
    <col min="51" max="93" width="2.28515625" customWidth="1"/>
  </cols>
  <sheetData>
    <row r="1" spans="1:93" ht="8.25" customHeight="1">
      <c r="A1" s="27"/>
      <c r="B1" s="176"/>
      <c r="C1" s="27"/>
      <c r="D1" s="27"/>
      <c r="E1" s="27"/>
      <c r="F1" s="27"/>
      <c r="G1" s="28"/>
      <c r="H1" s="28"/>
      <c r="I1" s="28"/>
      <c r="J1" s="29"/>
      <c r="K1" s="28"/>
      <c r="L1" s="30"/>
      <c r="M1" s="29"/>
      <c r="N1" s="29"/>
      <c r="O1" s="29"/>
      <c r="P1" s="31"/>
      <c r="Q1" s="29"/>
      <c r="R1" s="29"/>
      <c r="S1" s="28"/>
      <c r="T1" s="28"/>
      <c r="U1" s="28"/>
      <c r="V1" s="28"/>
      <c r="W1" s="28"/>
      <c r="X1" s="28"/>
      <c r="Y1" s="28"/>
      <c r="Z1" s="28"/>
      <c r="AA1" s="28"/>
      <c r="AB1" s="28"/>
      <c r="AC1" s="32"/>
      <c r="AD1" s="28"/>
      <c r="AE1" s="28"/>
      <c r="AF1" s="28"/>
      <c r="AG1" s="28"/>
      <c r="AH1" s="28"/>
      <c r="AI1" s="28"/>
      <c r="AJ1" s="28"/>
      <c r="AK1" s="28"/>
      <c r="AL1" s="28"/>
      <c r="AM1" s="28"/>
      <c r="AN1" s="28"/>
      <c r="AO1" s="28"/>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row>
    <row r="2" spans="1:93" s="160" customFormat="1" ht="8.25" customHeight="1">
      <c r="A2" s="176"/>
      <c r="B2" s="176"/>
      <c r="C2" s="176"/>
      <c r="D2" s="176"/>
      <c r="E2" s="176"/>
      <c r="F2" s="176"/>
      <c r="G2" s="196"/>
      <c r="H2" s="196"/>
      <c r="I2" s="196"/>
      <c r="J2" s="197"/>
      <c r="K2" s="196"/>
      <c r="L2" s="198"/>
      <c r="M2" s="197"/>
      <c r="N2" s="197"/>
      <c r="O2" s="197"/>
      <c r="P2" s="199"/>
      <c r="Q2" s="197"/>
      <c r="R2" s="197"/>
      <c r="S2" s="196"/>
      <c r="T2" s="196"/>
      <c r="U2" s="196"/>
      <c r="V2" s="196"/>
      <c r="W2" s="196"/>
      <c r="X2" s="196"/>
      <c r="Y2" s="196"/>
      <c r="Z2" s="196"/>
      <c r="AA2" s="196"/>
      <c r="AB2" s="196"/>
      <c r="AC2" s="178"/>
      <c r="AD2" s="196"/>
      <c r="AE2" s="196"/>
      <c r="AF2" s="196"/>
      <c r="AG2" s="196"/>
      <c r="AH2" s="196"/>
      <c r="AI2" s="196"/>
      <c r="AJ2" s="196"/>
      <c r="AK2" s="196"/>
      <c r="AL2" s="196"/>
      <c r="AM2" s="196"/>
      <c r="AN2" s="196"/>
      <c r="AO2" s="196"/>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row>
    <row r="3" spans="1:93" ht="8.25" customHeight="1" thickBot="1">
      <c r="A3" s="27"/>
      <c r="B3" s="176"/>
      <c r="C3" s="27"/>
      <c r="D3" s="204"/>
      <c r="E3" s="204"/>
      <c r="F3" s="204"/>
      <c r="G3" s="205"/>
      <c r="H3" s="205"/>
      <c r="I3" s="205"/>
      <c r="J3" s="206"/>
      <c r="K3" s="205"/>
      <c r="L3" s="207"/>
      <c r="M3" s="206"/>
      <c r="N3" s="206"/>
      <c r="O3" s="206"/>
      <c r="P3" s="208"/>
      <c r="Q3" s="206"/>
      <c r="R3" s="206"/>
      <c r="S3" s="205"/>
      <c r="T3" s="205"/>
      <c r="U3" s="205"/>
      <c r="V3" s="205"/>
      <c r="W3" s="205"/>
      <c r="X3" s="205"/>
      <c r="Y3" s="205"/>
      <c r="Z3" s="205"/>
      <c r="AA3" s="205"/>
      <c r="AB3" s="205"/>
      <c r="AC3" s="209"/>
      <c r="AD3" s="205"/>
      <c r="AE3" s="205"/>
      <c r="AF3" s="205"/>
      <c r="AG3" s="205"/>
      <c r="AH3" s="205"/>
      <c r="AI3" s="205"/>
      <c r="AJ3" s="205"/>
      <c r="AK3" s="205"/>
      <c r="AL3" s="205"/>
      <c r="AM3" s="205"/>
      <c r="AN3" s="205"/>
      <c r="AO3" s="205"/>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row>
    <row r="4" spans="1:93" ht="27.75" customHeight="1" thickTop="1" thickBot="1">
      <c r="A4" s="27"/>
      <c r="B4" s="176"/>
      <c r="C4" s="210"/>
      <c r="D4" s="308" t="str">
        <f>HYPERLINK("https://www.justgiving.com/page/predictforpsc",VLOOKUP("btn_donate_now",langTable,MATCH(langName,_lang!$A$1:$F$1,0),FALSE()))</f>
        <v>♥ DONATE NOW</v>
      </c>
      <c r="E4" s="338"/>
      <c r="F4" s="339"/>
      <c r="G4" s="28"/>
      <c r="H4" s="28"/>
      <c r="I4" s="28"/>
      <c r="J4" s="29"/>
      <c r="K4" s="29"/>
      <c r="L4" s="29"/>
      <c r="M4" s="29"/>
      <c r="N4" s="29"/>
      <c r="O4" s="29"/>
      <c r="P4" s="31"/>
      <c r="Q4" s="29"/>
      <c r="R4" s="29"/>
      <c r="S4" s="28"/>
      <c r="T4" s="28"/>
      <c r="U4" s="28"/>
      <c r="V4" s="28"/>
      <c r="W4" s="28"/>
      <c r="X4" s="28"/>
      <c r="Y4" s="28"/>
      <c r="Z4" s="28"/>
      <c r="AA4" s="28"/>
      <c r="AB4" s="28"/>
      <c r="AC4" s="32"/>
      <c r="AD4" s="28"/>
      <c r="AE4" s="28"/>
      <c r="AF4" s="28"/>
      <c r="AG4" s="28"/>
      <c r="AH4" s="28"/>
      <c r="AI4" s="28"/>
      <c r="AJ4" s="28"/>
      <c r="AK4" s="28"/>
      <c r="AL4" s="28"/>
      <c r="AM4" s="28"/>
      <c r="AN4" s="28"/>
      <c r="AO4" s="28"/>
      <c r="AP4" s="218"/>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row>
    <row r="5" spans="1:93" ht="7.5" customHeight="1" thickTop="1">
      <c r="A5" s="27"/>
      <c r="B5" s="176"/>
      <c r="C5" s="210"/>
      <c r="D5" s="215"/>
      <c r="E5" s="215"/>
      <c r="F5" s="215"/>
      <c r="G5" s="215"/>
      <c r="H5" s="215"/>
      <c r="I5" s="215"/>
      <c r="J5" s="215"/>
      <c r="K5" s="215"/>
      <c r="L5" s="215"/>
      <c r="M5" s="215"/>
      <c r="N5" s="215"/>
      <c r="O5" s="215"/>
      <c r="P5" s="216"/>
      <c r="Q5" s="217"/>
      <c r="R5" s="217"/>
      <c r="S5" s="217"/>
      <c r="T5" s="217"/>
      <c r="U5" s="217"/>
      <c r="V5" s="217"/>
      <c r="W5" s="217"/>
      <c r="X5" s="217"/>
      <c r="Y5" s="217"/>
      <c r="Z5" s="217"/>
      <c r="AA5" s="217"/>
      <c r="AB5" s="217"/>
      <c r="AC5" s="216"/>
      <c r="AD5" s="217"/>
      <c r="AE5" s="217"/>
      <c r="AF5" s="217"/>
      <c r="AG5" s="217"/>
      <c r="AH5" s="217"/>
      <c r="AI5" s="217"/>
      <c r="AJ5" s="217"/>
      <c r="AK5" s="217"/>
      <c r="AL5" s="217"/>
      <c r="AM5" s="217"/>
      <c r="AN5" s="217"/>
      <c r="AO5" s="217"/>
      <c r="AP5" s="218"/>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row>
    <row r="6" spans="1:93" ht="15" customHeight="1">
      <c r="A6" s="27"/>
      <c r="B6" s="176"/>
      <c r="C6" s="210"/>
      <c r="D6" s="350" t="str">
        <f>VLOOKUP("gt_title",langTable,MATCH(langName,_lang!$A$1:$F$1,0),FALSE())</f>
        <v>&gt;&gt;&gt; GROUP TABLES</v>
      </c>
      <c r="E6" s="267"/>
      <c r="F6" s="267"/>
      <c r="G6" s="267"/>
      <c r="H6" s="267"/>
      <c r="I6" s="267"/>
      <c r="J6" s="267"/>
      <c r="K6" s="267"/>
      <c r="L6" s="267"/>
      <c r="M6" s="267"/>
      <c r="N6" s="267"/>
      <c r="O6" s="267"/>
      <c r="P6" s="267"/>
      <c r="Q6" s="86"/>
      <c r="R6" s="86"/>
      <c r="S6" s="86"/>
      <c r="T6" s="86"/>
      <c r="U6" s="86"/>
      <c r="V6" s="86"/>
      <c r="W6" s="86"/>
      <c r="X6" s="86"/>
      <c r="Y6" s="86"/>
      <c r="Z6" s="86"/>
      <c r="AA6" s="86"/>
      <c r="AB6" s="86"/>
      <c r="AC6" s="86"/>
      <c r="AD6" s="86"/>
      <c r="AE6" s="86"/>
      <c r="AF6" s="86"/>
      <c r="AG6" s="86"/>
      <c r="AH6" s="86"/>
      <c r="AI6" s="86"/>
      <c r="AJ6" s="86"/>
      <c r="AK6" s="86"/>
      <c r="AL6" s="86"/>
      <c r="AM6" s="86"/>
      <c r="AN6" s="86"/>
      <c r="AO6" s="86"/>
      <c r="AP6" s="219"/>
      <c r="AQ6" s="86"/>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row>
    <row r="7" spans="1:93" ht="15" customHeight="1">
      <c r="A7" s="27"/>
      <c r="B7" s="176"/>
      <c r="C7" s="210"/>
      <c r="D7" s="267"/>
      <c r="E7" s="267"/>
      <c r="F7" s="267"/>
      <c r="G7" s="267"/>
      <c r="H7" s="267"/>
      <c r="I7" s="267"/>
      <c r="J7" s="267"/>
      <c r="K7" s="267"/>
      <c r="L7" s="267"/>
      <c r="M7" s="267"/>
      <c r="N7" s="267"/>
      <c r="O7" s="267"/>
      <c r="P7" s="267"/>
      <c r="Q7" s="86"/>
      <c r="R7" s="86"/>
      <c r="S7" s="86"/>
      <c r="T7" s="86"/>
      <c r="U7" s="86"/>
      <c r="V7" s="86"/>
      <c r="W7" s="86"/>
      <c r="X7" s="86"/>
      <c r="Y7" s="86"/>
      <c r="Z7" s="86"/>
      <c r="AA7" s="86"/>
      <c r="AB7" s="86"/>
      <c r="AC7" s="86"/>
      <c r="AD7" s="86"/>
      <c r="AE7" s="86"/>
      <c r="AF7" s="86"/>
      <c r="AG7" s="86"/>
      <c r="AH7" s="86"/>
      <c r="AI7" s="86"/>
      <c r="AJ7" s="86"/>
      <c r="AK7" s="86"/>
      <c r="AL7" s="86"/>
      <c r="AM7" s="86"/>
      <c r="AN7" s="86"/>
      <c r="AO7" s="86"/>
      <c r="AP7" s="219"/>
      <c r="AQ7" s="86"/>
      <c r="AR7" s="86"/>
      <c r="AS7" s="86"/>
      <c r="AT7" s="86"/>
      <c r="AU7" s="86"/>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row>
    <row r="8" spans="1:93" s="160" customFormat="1" ht="9" customHeight="1">
      <c r="A8" s="176"/>
      <c r="B8" s="176"/>
      <c r="C8" s="210"/>
      <c r="D8" s="176"/>
      <c r="E8" s="176"/>
      <c r="F8" s="176"/>
      <c r="G8" s="176"/>
      <c r="H8" s="176"/>
      <c r="I8" s="176"/>
      <c r="J8" s="176"/>
      <c r="K8" s="176"/>
      <c r="L8" s="176"/>
      <c r="M8" s="176"/>
      <c r="N8" s="176"/>
      <c r="O8" s="176"/>
      <c r="P8" s="176"/>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219"/>
      <c r="AQ8" s="177"/>
      <c r="AR8" s="177"/>
      <c r="AS8" s="177"/>
      <c r="AT8" s="177"/>
      <c r="AU8" s="177"/>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row>
    <row r="9" spans="1:93" ht="15" customHeight="1">
      <c r="A9" s="33"/>
      <c r="B9" s="200"/>
      <c r="C9" s="211"/>
      <c r="D9" s="345" t="str">
        <f>VLOOKUP("gt_subtitle",langTable,MATCH(langName,_lang!$A$1:$F$1,0),FALSE())</f>
        <v>Auto-calculated from your scores in the Predictions &amp; Results tab</v>
      </c>
      <c r="E9" s="267"/>
      <c r="F9" s="267"/>
      <c r="G9" s="267"/>
      <c r="H9" s="267"/>
      <c r="I9" s="267"/>
      <c r="J9" s="267"/>
      <c r="K9" s="267"/>
      <c r="L9" s="267"/>
      <c r="M9" s="267"/>
      <c r="N9" s="267"/>
      <c r="O9" s="267"/>
      <c r="P9" s="267"/>
      <c r="Q9" s="267"/>
      <c r="R9" s="87"/>
      <c r="S9" s="87"/>
      <c r="T9" s="87"/>
      <c r="U9" s="87"/>
      <c r="V9" s="87"/>
      <c r="W9" s="87"/>
      <c r="X9" s="87"/>
      <c r="Y9" s="87"/>
      <c r="Z9" s="87"/>
      <c r="AA9" s="87"/>
      <c r="AB9" s="87"/>
      <c r="AC9" s="87"/>
      <c r="AD9" s="87"/>
      <c r="AE9" s="87"/>
      <c r="AF9" s="34"/>
      <c r="AG9" s="34"/>
      <c r="AH9" s="34"/>
      <c r="AI9" s="34"/>
      <c r="AJ9" s="34"/>
      <c r="AK9" s="34"/>
      <c r="AL9" s="34"/>
      <c r="AM9" s="34"/>
      <c r="AN9" s="34"/>
      <c r="AO9" s="34"/>
      <c r="AP9" s="220"/>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row>
    <row r="10" spans="1:93" ht="15" customHeight="1">
      <c r="A10" s="34"/>
      <c r="B10" s="201"/>
      <c r="C10" s="212"/>
      <c r="D10" s="34"/>
      <c r="E10" s="34"/>
      <c r="F10" s="34"/>
      <c r="G10" s="34"/>
      <c r="H10" s="34"/>
      <c r="I10" s="34"/>
      <c r="J10" s="34"/>
      <c r="K10" s="34"/>
      <c r="L10" s="34"/>
      <c r="M10" s="34"/>
      <c r="N10" s="34"/>
      <c r="O10" s="34"/>
      <c r="P10" s="35"/>
      <c r="Q10" s="34"/>
      <c r="R10" s="34"/>
      <c r="S10" s="34"/>
      <c r="T10" s="34"/>
      <c r="U10" s="34"/>
      <c r="V10" s="34"/>
      <c r="W10" s="34"/>
      <c r="X10" s="34"/>
      <c r="Y10" s="34"/>
      <c r="Z10" s="34"/>
      <c r="AA10" s="34"/>
      <c r="AB10" s="34"/>
      <c r="AC10" s="35"/>
      <c r="AD10" s="34"/>
      <c r="AE10" s="34"/>
      <c r="AF10" s="34"/>
      <c r="AG10" s="34"/>
      <c r="AH10" s="34"/>
      <c r="AI10" s="34"/>
      <c r="AJ10" s="34"/>
      <c r="AK10" s="34"/>
      <c r="AL10" s="34"/>
      <c r="AM10" s="34"/>
      <c r="AN10" s="34"/>
      <c r="AO10" s="34"/>
      <c r="AP10" s="221" t="str">
        <f>""&amp;VLOOKUP("fx_title",langTable,MATCH(langName,_lang!$A$1:$F$1,0),FALSE())&amp;""</f>
        <v>&gt;&gt;&gt; PREDICTIONS AND RESULTS</v>
      </c>
      <c r="AQ10" s="214" t="str">
        <f>""&amp;VLOOKUP("fx_title",langTable,MATCH(langName,_lang!$A$1:$F$1,0),FALSE())&amp;""</f>
        <v>&gt;&gt;&gt; PREDICTIONS AND RESULTS</v>
      </c>
      <c r="AR10" s="214" t="str">
        <f>""&amp;VLOOKUP("fx_title",langTable,MATCH(langName,_lang!$A$1:$F$1,0),FALSE())&amp;""</f>
        <v>&gt;&gt;&gt; PREDICTIONS AND RESULTS</v>
      </c>
      <c r="AS10" s="214" t="str">
        <f>""&amp;VLOOKUP("fx_title",langTable,MATCH(langName,_lang!$A$1:$F$1,0),FALSE())&amp;""</f>
        <v>&gt;&gt;&gt; PREDICTIONS AND RESULTS</v>
      </c>
      <c r="AT10" s="214" t="str">
        <f>""&amp;VLOOKUP("fx_title",langTable,MATCH(langName,_lang!$A$1:$F$1,0),FALSE())&amp;""</f>
        <v>&gt;&gt;&gt; PREDICTIONS AND RESULTS</v>
      </c>
      <c r="AU10" s="214" t="str">
        <f>""&amp;VLOOKUP("fx_title",langTable,MATCH(langName,_lang!$A$1:$F$1,0),FALSE())&amp;""</f>
        <v>&gt;&gt;&gt; PREDICTIONS AND RESULTS</v>
      </c>
      <c r="AV10" s="214" t="str">
        <f>""&amp;VLOOKUP("fx_title",langTable,MATCH(langName,_lang!$A$1:$F$1,0),FALSE())&amp;""</f>
        <v>&gt;&gt;&gt; PREDICTIONS AND RESULTS</v>
      </c>
      <c r="AW10" s="214" t="str">
        <f>""&amp;VLOOKUP("fx_title",langTable,MATCH(langName,_lang!$A$1:$F$1,0),FALSE())&amp;""</f>
        <v>&gt;&gt;&gt; PREDICTIONS AND RESULTS</v>
      </c>
      <c r="AX10" s="214" t="str">
        <f>""&amp;VLOOKUP("fx_title",langTable,MATCH(langName,_lang!$A$1:$F$1,0),FALSE())&amp;""</f>
        <v>&gt;&gt;&gt; PREDICTIONS AND RESULTS</v>
      </c>
      <c r="AY10" s="214" t="str">
        <f>""&amp;VLOOKUP("fx_title",langTable,MATCH(langName,_lang!$A$1:$F$1,0),FALSE())&amp;""</f>
        <v>&gt;&gt;&gt; PREDICTIONS AND RESULTS</v>
      </c>
      <c r="AZ10" s="214" t="str">
        <f>""&amp;VLOOKUP("fx_title",langTable,MATCH(langName,_lang!$A$1:$F$1,0),FALSE())&amp;""</f>
        <v>&gt;&gt;&gt; PREDICTIONS AND RESULTS</v>
      </c>
      <c r="BA10" s="214" t="str">
        <f>""&amp;VLOOKUP("fx_title",langTable,MATCH(langName,_lang!$A$1:$F$1,0),FALSE())&amp;""</f>
        <v>&gt;&gt;&gt; PREDICTIONS AND RESULTS</v>
      </c>
      <c r="BB10" s="214" t="str">
        <f>""&amp;VLOOKUP("fx_title",langTable,MATCH(langName,_lang!$A$1:$F$1,0),FALSE())&amp;""</f>
        <v>&gt;&gt;&gt; PREDICTIONS AND RESULTS</v>
      </c>
      <c r="BC10" s="214" t="str">
        <f>""&amp;VLOOKUP("fx_title",langTable,MATCH(langName,_lang!$A$1:$F$1,0),FALSE())&amp;""</f>
        <v>&gt;&gt;&gt; PREDICTIONS AND RESULTS</v>
      </c>
      <c r="BD10" s="214" t="str">
        <f>""&amp;VLOOKUP("fx_title",langTable,MATCH(langName,_lang!$A$1:$F$1,0),FALSE())&amp;""</f>
        <v>&gt;&gt;&gt; PREDICTIONS AND RESULTS</v>
      </c>
      <c r="BE10" s="214" t="str">
        <f>""&amp;VLOOKUP("fx_title",langTable,MATCH(langName,_lang!$A$1:$F$1,0),FALSE())&amp;""</f>
        <v>&gt;&gt;&gt; PREDICTIONS AND RESULTS</v>
      </c>
      <c r="BF10" s="214" t="str">
        <f>""&amp;VLOOKUP("fx_title",langTable,MATCH(langName,_lang!$A$1:$F$1,0),FALSE())&amp;""</f>
        <v>&gt;&gt;&gt; PREDICTIONS AND RESULTS</v>
      </c>
      <c r="BG10" s="214" t="str">
        <f>""&amp;VLOOKUP("fx_title",langTable,MATCH(langName,_lang!$A$1:$F$1,0),FALSE())&amp;""</f>
        <v>&gt;&gt;&gt; PREDICTIONS AND RESULTS</v>
      </c>
      <c r="BH10" s="214" t="str">
        <f>""&amp;VLOOKUP("fx_title",langTable,MATCH(langName,_lang!$A$1:$F$1,0),FALSE())&amp;""</f>
        <v>&gt;&gt;&gt; PREDICTIONS AND RESULTS</v>
      </c>
      <c r="BI10" s="214" t="str">
        <f>""&amp;VLOOKUP("fx_title",langTable,MATCH(langName,_lang!$A$1:$F$1,0),FALSE())&amp;""</f>
        <v>&gt;&gt;&gt; PREDICTIONS AND RESULTS</v>
      </c>
      <c r="BJ10" s="214" t="str">
        <f>""&amp;VLOOKUP("fx_title",langTable,MATCH(langName,_lang!$A$1:$F$1,0),FALSE())&amp;""</f>
        <v>&gt;&gt;&gt; PREDICTIONS AND RESULTS</v>
      </c>
      <c r="BK10" s="214" t="str">
        <f>""&amp;VLOOKUP("fx_title",langTable,MATCH(langName,_lang!$A$1:$F$1,0),FALSE())&amp;""</f>
        <v>&gt;&gt;&gt; PREDICTIONS AND RESULTS</v>
      </c>
      <c r="BL10" s="214" t="str">
        <f>""&amp;VLOOKUP("fx_title",langTable,MATCH(langName,_lang!$A$1:$F$1,0),FALSE())&amp;""</f>
        <v>&gt;&gt;&gt; PREDICTIONS AND RESULTS</v>
      </c>
      <c r="BM10" s="214" t="str">
        <f>""&amp;VLOOKUP("fx_title",langTable,MATCH(langName,_lang!$A$1:$F$1,0),FALSE())&amp;""</f>
        <v>&gt;&gt;&gt; PREDICTIONS AND RESULTS</v>
      </c>
      <c r="BN10" s="214" t="str">
        <f>""&amp;VLOOKUP("fx_title",langTable,MATCH(langName,_lang!$A$1:$F$1,0),FALSE())&amp;""</f>
        <v>&gt;&gt;&gt; PREDICTIONS AND RESULTS</v>
      </c>
      <c r="BO10" s="214" t="str">
        <f>""&amp;VLOOKUP("fx_title",langTable,MATCH(langName,_lang!$A$1:$F$1,0),FALSE())&amp;""</f>
        <v>&gt;&gt;&gt; PREDICTIONS AND RESULTS</v>
      </c>
      <c r="BP10" s="214" t="str">
        <f>""&amp;VLOOKUP("fx_title",langTable,MATCH(langName,_lang!$A$1:$F$1,0),FALSE())&amp;""</f>
        <v>&gt;&gt;&gt; PREDICTIONS AND RESULTS</v>
      </c>
      <c r="BQ10" s="214" t="str">
        <f>""&amp;VLOOKUP("fx_title",langTable,MATCH(langName,_lang!$A$1:$F$1,0),FALSE())&amp;""</f>
        <v>&gt;&gt;&gt; PREDICTIONS AND RESULTS</v>
      </c>
      <c r="BR10" s="214" t="str">
        <f>""&amp;VLOOKUP("fx_title",langTable,MATCH(langName,_lang!$A$1:$F$1,0),FALSE())&amp;""</f>
        <v>&gt;&gt;&gt; PREDICTIONS AND RESULTS</v>
      </c>
      <c r="BS10" s="214" t="str">
        <f>""&amp;VLOOKUP("fx_title",langTable,MATCH(langName,_lang!$A$1:$F$1,0),FALSE())&amp;""</f>
        <v>&gt;&gt;&gt; PREDICTIONS AND RESULTS</v>
      </c>
      <c r="BT10" s="214" t="str">
        <f>""&amp;VLOOKUP("fx_title",langTable,MATCH(langName,_lang!$A$1:$F$1,0),FALSE())&amp;""</f>
        <v>&gt;&gt;&gt; PREDICTIONS AND RESULTS</v>
      </c>
      <c r="BU10" s="214" t="str">
        <f>""&amp;VLOOKUP("fx_title",langTable,MATCH(langName,_lang!$A$1:$F$1,0),FALSE())&amp;""</f>
        <v>&gt;&gt;&gt; PREDICTIONS AND RESULTS</v>
      </c>
      <c r="BV10" s="214" t="str">
        <f>""&amp;VLOOKUP("fx_title",langTable,MATCH(langName,_lang!$A$1:$F$1,0),FALSE())&amp;""</f>
        <v>&gt;&gt;&gt; PREDICTIONS AND RESULTS</v>
      </c>
      <c r="BW10" s="214" t="str">
        <f>""&amp;VLOOKUP("fx_title",langTable,MATCH(langName,_lang!$A$1:$F$1,0),FALSE())&amp;""</f>
        <v>&gt;&gt;&gt; PREDICTIONS AND RESULTS</v>
      </c>
      <c r="BX10" s="214" t="str">
        <f>""&amp;VLOOKUP("fx_title",langTable,MATCH(langName,_lang!$A$1:$F$1,0),FALSE())&amp;""</f>
        <v>&gt;&gt;&gt; PREDICTIONS AND RESULTS</v>
      </c>
      <c r="BY10" s="214" t="str">
        <f>""&amp;VLOOKUP("fx_title",langTable,MATCH(langName,_lang!$A$1:$F$1,0),FALSE())&amp;""</f>
        <v>&gt;&gt;&gt; PREDICTIONS AND RESULTS</v>
      </c>
      <c r="BZ10" s="214" t="str">
        <f>""&amp;VLOOKUP("fx_title",langTable,MATCH(langName,_lang!$A$1:$F$1,0),FALSE())&amp;""</f>
        <v>&gt;&gt;&gt; PREDICTIONS AND RESULTS</v>
      </c>
      <c r="CA10" s="214" t="str">
        <f>""&amp;VLOOKUP("fx_title",langTable,MATCH(langName,_lang!$A$1:$F$1,0),FALSE())&amp;""</f>
        <v>&gt;&gt;&gt; PREDICTIONS AND RESULTS</v>
      </c>
      <c r="CB10" s="214" t="str">
        <f>""&amp;VLOOKUP("fx_title",langTable,MATCH(langName,_lang!$A$1:$F$1,0),FALSE())&amp;""</f>
        <v>&gt;&gt;&gt; PREDICTIONS AND RESULTS</v>
      </c>
      <c r="CC10" s="214" t="str">
        <f>""&amp;VLOOKUP("fx_title",langTable,MATCH(langName,_lang!$A$1:$F$1,0),FALSE())&amp;""</f>
        <v>&gt;&gt;&gt; PREDICTIONS AND RESULTS</v>
      </c>
      <c r="CD10" s="214" t="str">
        <f>""&amp;VLOOKUP("fx_title",langTable,MATCH(langName,_lang!$A$1:$F$1,0),FALSE())&amp;""</f>
        <v>&gt;&gt;&gt; PREDICTIONS AND RESULTS</v>
      </c>
      <c r="CE10" s="214" t="str">
        <f>""&amp;VLOOKUP("fx_title",langTable,MATCH(langName,_lang!$A$1:$F$1,0),FALSE())&amp;""</f>
        <v>&gt;&gt;&gt; PREDICTIONS AND RESULTS</v>
      </c>
      <c r="CF10" s="214" t="str">
        <f>""&amp;VLOOKUP("fx_title",langTable,MATCH(langName,_lang!$A$1:$F$1,0),FALSE())&amp;""</f>
        <v>&gt;&gt;&gt; PREDICTIONS AND RESULTS</v>
      </c>
      <c r="CG10" s="214" t="str">
        <f>""&amp;VLOOKUP("fx_title",langTable,MATCH(langName,_lang!$A$1:$F$1,0),FALSE())&amp;""</f>
        <v>&gt;&gt;&gt; PREDICTIONS AND RESULTS</v>
      </c>
      <c r="CH10" s="214" t="str">
        <f>""&amp;VLOOKUP("fx_title",langTable,MATCH(langName,_lang!$A$1:$F$1,0),FALSE())&amp;""</f>
        <v>&gt;&gt;&gt; PREDICTIONS AND RESULTS</v>
      </c>
      <c r="CI10" s="214" t="str">
        <f>""&amp;VLOOKUP("fx_title",langTable,MATCH(langName,_lang!$A$1:$F$1,0),FALSE())&amp;""</f>
        <v>&gt;&gt;&gt; PREDICTIONS AND RESULTS</v>
      </c>
      <c r="CJ10" s="214" t="str">
        <f>""&amp;VLOOKUP("fx_title",langTable,MATCH(langName,_lang!$A$1:$F$1,0),FALSE())&amp;""</f>
        <v>&gt;&gt;&gt; PREDICTIONS AND RESULTS</v>
      </c>
      <c r="CK10" s="214" t="str">
        <f>""&amp;VLOOKUP("fx_title",langTable,MATCH(langName,_lang!$A$1:$F$1,0),FALSE())&amp;""</f>
        <v>&gt;&gt;&gt; PREDICTIONS AND RESULTS</v>
      </c>
      <c r="CL10" s="214" t="str">
        <f>""&amp;VLOOKUP("fx_title",langTable,MATCH(langName,_lang!$A$1:$F$1,0),FALSE())&amp;""</f>
        <v>&gt;&gt;&gt; PREDICTIONS AND RESULTS</v>
      </c>
      <c r="CM10" s="214" t="str">
        <f>""&amp;VLOOKUP("fx_title",langTable,MATCH(langName,_lang!$A$1:$F$1,0),FALSE())&amp;""</f>
        <v>&gt;&gt;&gt; PREDICTIONS AND RESULTS</v>
      </c>
      <c r="CN10" s="214" t="str">
        <f>""&amp;VLOOKUP("fx_title",langTable,MATCH(langName,_lang!$A$1:$F$1,0),FALSE())&amp;""</f>
        <v>&gt;&gt;&gt; PREDICTIONS AND RESULTS</v>
      </c>
      <c r="CO10" s="214" t="str">
        <f>""&amp;VLOOKUP("fx_title",langTable,MATCH(langName,_lang!$A$1:$F$1,0),FALSE())&amp;""</f>
        <v>&gt;&gt;&gt; PREDICTIONS AND RESULTS</v>
      </c>
    </row>
    <row r="11" spans="1:93" ht="16.5" customHeight="1">
      <c r="A11" s="34"/>
      <c r="B11" s="201"/>
      <c r="C11" s="212"/>
      <c r="D11" s="343" t="str">
        <f>VLOOKUP("group_prefix",langTable,MATCH(langName,_lang!$A$1:$F$1,0),FALSE())&amp;" A"</f>
        <v>GROUP A</v>
      </c>
      <c r="E11" s="267"/>
      <c r="F11" s="267"/>
      <c r="G11" s="267"/>
      <c r="H11" s="267"/>
      <c r="I11" s="267"/>
      <c r="J11" s="267"/>
      <c r="K11" s="267"/>
      <c r="L11" s="267"/>
      <c r="M11" s="267"/>
      <c r="N11" s="267"/>
      <c r="O11" s="267"/>
      <c r="P11" s="88"/>
      <c r="Q11" s="343" t="str">
        <f>VLOOKUP("group_prefix",langTable,MATCH(langName,_lang!$A$1:$F$1,0),FALSE())&amp;" B"</f>
        <v>GROUP B</v>
      </c>
      <c r="R11" s="267"/>
      <c r="S11" s="267"/>
      <c r="T11" s="267"/>
      <c r="U11" s="267"/>
      <c r="V11" s="267"/>
      <c r="W11" s="267"/>
      <c r="X11" s="267"/>
      <c r="Y11" s="267"/>
      <c r="Z11" s="267"/>
      <c r="AA11" s="267"/>
      <c r="AB11" s="267"/>
      <c r="AC11" s="88"/>
      <c r="AD11" s="343" t="str">
        <f>VLOOKUP("group_prefix",langTable,MATCH(langName,_lang!$A$1:$F$1,0),FALSE())&amp;" C"</f>
        <v>GROUP C</v>
      </c>
      <c r="AE11" s="267"/>
      <c r="AF11" s="267"/>
      <c r="AG11" s="267"/>
      <c r="AH11" s="267"/>
      <c r="AI11" s="267"/>
      <c r="AJ11" s="267"/>
      <c r="AK11" s="267"/>
      <c r="AL11" s="267"/>
      <c r="AM11" s="267"/>
      <c r="AN11" s="267"/>
      <c r="AO11" s="267"/>
      <c r="AP11" s="221" t="str">
        <f>""&amp;VLOOKUP("fx_title",langTable,MATCH(langName,_lang!$A$1:$F$1,0),FALSE())&amp;""</f>
        <v>&gt;&gt;&gt; PREDICTIONS AND RESULTS</v>
      </c>
      <c r="AQ11" s="214" t="str">
        <f>""&amp;VLOOKUP("fx_title",langTable,MATCH(langName,_lang!$A$1:$F$1,0),FALSE())&amp;""</f>
        <v>&gt;&gt;&gt; PREDICTIONS AND RESULTS</v>
      </c>
      <c r="AR11" s="214" t="str">
        <f>""&amp;VLOOKUP("fx_title",langTable,MATCH(langName,_lang!$A$1:$F$1,0),FALSE())&amp;""</f>
        <v>&gt;&gt;&gt; PREDICTIONS AND RESULTS</v>
      </c>
      <c r="AS11" s="214" t="str">
        <f>""&amp;VLOOKUP("fx_title",langTable,MATCH(langName,_lang!$A$1:$F$1,0),FALSE())&amp;""</f>
        <v>&gt;&gt;&gt; PREDICTIONS AND RESULTS</v>
      </c>
      <c r="AT11" s="214" t="str">
        <f>""&amp;VLOOKUP("fx_title",langTable,MATCH(langName,_lang!$A$1:$F$1,0),FALSE())&amp;""</f>
        <v>&gt;&gt;&gt; PREDICTIONS AND RESULTS</v>
      </c>
      <c r="AU11" s="214" t="str">
        <f>""&amp;VLOOKUP("fx_title",langTable,MATCH(langName,_lang!$A$1:$F$1,0),FALSE())&amp;""</f>
        <v>&gt;&gt;&gt; PREDICTIONS AND RESULTS</v>
      </c>
      <c r="AV11" s="214" t="str">
        <f>""&amp;VLOOKUP("fx_title",langTable,MATCH(langName,_lang!$A$1:$F$1,0),FALSE())&amp;""</f>
        <v>&gt;&gt;&gt; PREDICTIONS AND RESULTS</v>
      </c>
      <c r="AW11" s="214" t="str">
        <f>""&amp;VLOOKUP("fx_title",langTable,MATCH(langName,_lang!$A$1:$F$1,0),FALSE())&amp;""</f>
        <v>&gt;&gt;&gt; PREDICTIONS AND RESULTS</v>
      </c>
      <c r="AX11" s="214" t="str">
        <f>""&amp;VLOOKUP("fx_title",langTable,MATCH(langName,_lang!$A$1:$F$1,0),FALSE())&amp;""</f>
        <v>&gt;&gt;&gt; PREDICTIONS AND RESULTS</v>
      </c>
      <c r="AY11" s="214" t="str">
        <f>""&amp;VLOOKUP("fx_title",langTable,MATCH(langName,_lang!$A$1:$F$1,0),FALSE())&amp;""</f>
        <v>&gt;&gt;&gt; PREDICTIONS AND RESULTS</v>
      </c>
      <c r="AZ11" s="214" t="str">
        <f>""&amp;VLOOKUP("fx_title",langTable,MATCH(langName,_lang!$A$1:$F$1,0),FALSE())&amp;""</f>
        <v>&gt;&gt;&gt; PREDICTIONS AND RESULTS</v>
      </c>
      <c r="BA11" s="214" t="str">
        <f>""&amp;VLOOKUP("fx_title",langTable,MATCH(langName,_lang!$A$1:$F$1,0),FALSE())&amp;""</f>
        <v>&gt;&gt;&gt; PREDICTIONS AND RESULTS</v>
      </c>
      <c r="BB11" s="214" t="str">
        <f>""&amp;VLOOKUP("fx_title",langTable,MATCH(langName,_lang!$A$1:$F$1,0),FALSE())&amp;""</f>
        <v>&gt;&gt;&gt; PREDICTIONS AND RESULTS</v>
      </c>
      <c r="BC11" s="214" t="str">
        <f>""&amp;VLOOKUP("fx_title",langTable,MATCH(langName,_lang!$A$1:$F$1,0),FALSE())&amp;""</f>
        <v>&gt;&gt;&gt; PREDICTIONS AND RESULTS</v>
      </c>
      <c r="BD11" s="214" t="str">
        <f>""&amp;VLOOKUP("fx_title",langTable,MATCH(langName,_lang!$A$1:$F$1,0),FALSE())&amp;""</f>
        <v>&gt;&gt;&gt; PREDICTIONS AND RESULTS</v>
      </c>
      <c r="BE11" s="214" t="str">
        <f>""&amp;VLOOKUP("fx_title",langTable,MATCH(langName,_lang!$A$1:$F$1,0),FALSE())&amp;""</f>
        <v>&gt;&gt;&gt; PREDICTIONS AND RESULTS</v>
      </c>
      <c r="BF11" s="214" t="str">
        <f>""&amp;VLOOKUP("fx_title",langTable,MATCH(langName,_lang!$A$1:$F$1,0),FALSE())&amp;""</f>
        <v>&gt;&gt;&gt; PREDICTIONS AND RESULTS</v>
      </c>
      <c r="BG11" s="214" t="str">
        <f>""&amp;VLOOKUP("fx_title",langTable,MATCH(langName,_lang!$A$1:$F$1,0),FALSE())&amp;""</f>
        <v>&gt;&gt;&gt; PREDICTIONS AND RESULTS</v>
      </c>
      <c r="BH11" s="214" t="str">
        <f>""&amp;VLOOKUP("fx_title",langTable,MATCH(langName,_lang!$A$1:$F$1,0),FALSE())&amp;""</f>
        <v>&gt;&gt;&gt; PREDICTIONS AND RESULTS</v>
      </c>
      <c r="BI11" s="214" t="str">
        <f>""&amp;VLOOKUP("fx_title",langTable,MATCH(langName,_lang!$A$1:$F$1,0),FALSE())&amp;""</f>
        <v>&gt;&gt;&gt; PREDICTIONS AND RESULTS</v>
      </c>
      <c r="BJ11" s="214" t="str">
        <f>""&amp;VLOOKUP("fx_title",langTable,MATCH(langName,_lang!$A$1:$F$1,0),FALSE())&amp;""</f>
        <v>&gt;&gt;&gt; PREDICTIONS AND RESULTS</v>
      </c>
      <c r="BK11" s="214" t="str">
        <f>""&amp;VLOOKUP("fx_title",langTable,MATCH(langName,_lang!$A$1:$F$1,0),FALSE())&amp;""</f>
        <v>&gt;&gt;&gt; PREDICTIONS AND RESULTS</v>
      </c>
      <c r="BL11" s="214" t="str">
        <f>""&amp;VLOOKUP("fx_title",langTable,MATCH(langName,_lang!$A$1:$F$1,0),FALSE())&amp;""</f>
        <v>&gt;&gt;&gt; PREDICTIONS AND RESULTS</v>
      </c>
      <c r="BM11" s="214" t="str">
        <f>""&amp;VLOOKUP("fx_title",langTable,MATCH(langName,_lang!$A$1:$F$1,0),FALSE())&amp;""</f>
        <v>&gt;&gt;&gt; PREDICTIONS AND RESULTS</v>
      </c>
      <c r="BN11" s="214" t="str">
        <f>""&amp;VLOOKUP("fx_title",langTable,MATCH(langName,_lang!$A$1:$F$1,0),FALSE())&amp;""</f>
        <v>&gt;&gt;&gt; PREDICTIONS AND RESULTS</v>
      </c>
      <c r="BO11" s="214" t="str">
        <f>""&amp;VLOOKUP("fx_title",langTable,MATCH(langName,_lang!$A$1:$F$1,0),FALSE())&amp;""</f>
        <v>&gt;&gt;&gt; PREDICTIONS AND RESULTS</v>
      </c>
      <c r="BP11" s="214" t="str">
        <f>""&amp;VLOOKUP("fx_title",langTable,MATCH(langName,_lang!$A$1:$F$1,0),FALSE())&amp;""</f>
        <v>&gt;&gt;&gt; PREDICTIONS AND RESULTS</v>
      </c>
      <c r="BQ11" s="214" t="str">
        <f>""&amp;VLOOKUP("fx_title",langTable,MATCH(langName,_lang!$A$1:$F$1,0),FALSE())&amp;""</f>
        <v>&gt;&gt;&gt; PREDICTIONS AND RESULTS</v>
      </c>
      <c r="BR11" s="214" t="str">
        <f>""&amp;VLOOKUP("fx_title",langTable,MATCH(langName,_lang!$A$1:$F$1,0),FALSE())&amp;""</f>
        <v>&gt;&gt;&gt; PREDICTIONS AND RESULTS</v>
      </c>
      <c r="BS11" s="214" t="str">
        <f>""&amp;VLOOKUP("fx_title",langTable,MATCH(langName,_lang!$A$1:$F$1,0),FALSE())&amp;""</f>
        <v>&gt;&gt;&gt; PREDICTIONS AND RESULTS</v>
      </c>
      <c r="BT11" s="214" t="str">
        <f>""&amp;VLOOKUP("fx_title",langTable,MATCH(langName,_lang!$A$1:$F$1,0),FALSE())&amp;""</f>
        <v>&gt;&gt;&gt; PREDICTIONS AND RESULTS</v>
      </c>
      <c r="BU11" s="214" t="str">
        <f>""&amp;VLOOKUP("fx_title",langTable,MATCH(langName,_lang!$A$1:$F$1,0),FALSE())&amp;""</f>
        <v>&gt;&gt;&gt; PREDICTIONS AND RESULTS</v>
      </c>
      <c r="BV11" s="214" t="str">
        <f>""&amp;VLOOKUP("fx_title",langTable,MATCH(langName,_lang!$A$1:$F$1,0),FALSE())&amp;""</f>
        <v>&gt;&gt;&gt; PREDICTIONS AND RESULTS</v>
      </c>
      <c r="BW11" s="214" t="str">
        <f>""&amp;VLOOKUP("fx_title",langTable,MATCH(langName,_lang!$A$1:$F$1,0),FALSE())&amp;""</f>
        <v>&gt;&gt;&gt; PREDICTIONS AND RESULTS</v>
      </c>
      <c r="BX11" s="214" t="str">
        <f>""&amp;VLOOKUP("fx_title",langTable,MATCH(langName,_lang!$A$1:$F$1,0),FALSE())&amp;""</f>
        <v>&gt;&gt;&gt; PREDICTIONS AND RESULTS</v>
      </c>
      <c r="BY11" s="214" t="str">
        <f>""&amp;VLOOKUP("fx_title",langTable,MATCH(langName,_lang!$A$1:$F$1,0),FALSE())&amp;""</f>
        <v>&gt;&gt;&gt; PREDICTIONS AND RESULTS</v>
      </c>
      <c r="BZ11" s="214" t="str">
        <f>""&amp;VLOOKUP("fx_title",langTable,MATCH(langName,_lang!$A$1:$F$1,0),FALSE())&amp;""</f>
        <v>&gt;&gt;&gt; PREDICTIONS AND RESULTS</v>
      </c>
      <c r="CA11" s="214" t="str">
        <f>""&amp;VLOOKUP("fx_title",langTable,MATCH(langName,_lang!$A$1:$F$1,0),FALSE())&amp;""</f>
        <v>&gt;&gt;&gt; PREDICTIONS AND RESULTS</v>
      </c>
      <c r="CB11" s="214" t="str">
        <f>""&amp;VLOOKUP("fx_title",langTable,MATCH(langName,_lang!$A$1:$F$1,0),FALSE())&amp;""</f>
        <v>&gt;&gt;&gt; PREDICTIONS AND RESULTS</v>
      </c>
      <c r="CC11" s="214" t="str">
        <f>""&amp;VLOOKUP("fx_title",langTable,MATCH(langName,_lang!$A$1:$F$1,0),FALSE())&amp;""</f>
        <v>&gt;&gt;&gt; PREDICTIONS AND RESULTS</v>
      </c>
      <c r="CD11" s="214" t="str">
        <f>""&amp;VLOOKUP("fx_title",langTable,MATCH(langName,_lang!$A$1:$F$1,0),FALSE())&amp;""</f>
        <v>&gt;&gt;&gt; PREDICTIONS AND RESULTS</v>
      </c>
      <c r="CE11" s="214" t="str">
        <f>""&amp;VLOOKUP("fx_title",langTable,MATCH(langName,_lang!$A$1:$F$1,0),FALSE())&amp;""</f>
        <v>&gt;&gt;&gt; PREDICTIONS AND RESULTS</v>
      </c>
      <c r="CF11" s="214" t="str">
        <f>""&amp;VLOOKUP("fx_title",langTable,MATCH(langName,_lang!$A$1:$F$1,0),FALSE())&amp;""</f>
        <v>&gt;&gt;&gt; PREDICTIONS AND RESULTS</v>
      </c>
      <c r="CG11" s="214" t="str">
        <f>""&amp;VLOOKUP("fx_title",langTable,MATCH(langName,_lang!$A$1:$F$1,0),FALSE())&amp;""</f>
        <v>&gt;&gt;&gt; PREDICTIONS AND RESULTS</v>
      </c>
      <c r="CH11" s="214" t="str">
        <f>""&amp;VLOOKUP("fx_title",langTable,MATCH(langName,_lang!$A$1:$F$1,0),FALSE())&amp;""</f>
        <v>&gt;&gt;&gt; PREDICTIONS AND RESULTS</v>
      </c>
      <c r="CI11" s="214" t="str">
        <f>""&amp;VLOOKUP("fx_title",langTable,MATCH(langName,_lang!$A$1:$F$1,0),FALSE())&amp;""</f>
        <v>&gt;&gt;&gt; PREDICTIONS AND RESULTS</v>
      </c>
      <c r="CJ11" s="214" t="str">
        <f>""&amp;VLOOKUP("fx_title",langTable,MATCH(langName,_lang!$A$1:$F$1,0),FALSE())&amp;""</f>
        <v>&gt;&gt;&gt; PREDICTIONS AND RESULTS</v>
      </c>
      <c r="CK11" s="214" t="str">
        <f>""&amp;VLOOKUP("fx_title",langTable,MATCH(langName,_lang!$A$1:$F$1,0),FALSE())&amp;""</f>
        <v>&gt;&gt;&gt; PREDICTIONS AND RESULTS</v>
      </c>
      <c r="CL11" s="214" t="str">
        <f>""&amp;VLOOKUP("fx_title",langTable,MATCH(langName,_lang!$A$1:$F$1,0),FALSE())&amp;""</f>
        <v>&gt;&gt;&gt; PREDICTIONS AND RESULTS</v>
      </c>
      <c r="CM11" s="214" t="str">
        <f>""&amp;VLOOKUP("fx_title",langTable,MATCH(langName,_lang!$A$1:$F$1,0),FALSE())&amp;""</f>
        <v>&gt;&gt;&gt; PREDICTIONS AND RESULTS</v>
      </c>
      <c r="CN11" s="214" t="str">
        <f>""&amp;VLOOKUP("fx_title",langTable,MATCH(langName,_lang!$A$1:$F$1,0),FALSE())&amp;""</f>
        <v>&gt;&gt;&gt; PREDICTIONS AND RESULTS</v>
      </c>
      <c r="CO11" s="214" t="str">
        <f>""&amp;VLOOKUP("fx_title",langTable,MATCH(langName,_lang!$A$1:$F$1,0),FALSE())&amp;""</f>
        <v>&gt;&gt;&gt; PREDICTIONS AND RESULTS</v>
      </c>
    </row>
    <row r="12" spans="1:93" ht="15" customHeight="1">
      <c r="A12" s="34"/>
      <c r="B12" s="201"/>
      <c r="C12" s="212"/>
      <c r="D12" s="348" t="str">
        <f>VLOOKUP("hdr_team_uc",langTable,MATCH(langName,_lang!$A$1:$F$1,0),FALSE())</f>
        <v>TEAM</v>
      </c>
      <c r="E12" s="341"/>
      <c r="F12" s="341"/>
      <c r="G12" s="342"/>
      <c r="H12" s="89" t="str">
        <f>VLOOKUP("hdr_p",langTable,MATCH(langName,_lang!$A$1:$F$1,0),FALSE())</f>
        <v>P</v>
      </c>
      <c r="I12" s="89" t="str">
        <f>VLOOKUP("hdr_w",langTable,MATCH(langName,_lang!$A$1:$F$1,0),FALSE())</f>
        <v>W</v>
      </c>
      <c r="J12" s="89" t="str">
        <f>VLOOKUP("hdr_d",langTable,MATCH(langName,_lang!$A$1:$F$1,0),FALSE())</f>
        <v>D</v>
      </c>
      <c r="K12" s="89" t="str">
        <f>VLOOKUP("hdr_l",langTable,MATCH(langName,_lang!$A$1:$F$1,0),FALSE())</f>
        <v>L</v>
      </c>
      <c r="L12" s="89" t="str">
        <f>VLOOKUP("hdr_gf",langTable,MATCH(langName,_lang!$A$1:$F$1,0),FALSE())</f>
        <v>GF</v>
      </c>
      <c r="M12" s="89" t="str">
        <f>VLOOKUP("hdr_ga",langTable,MATCH(langName,_lang!$A$1:$F$1,0),FALSE())</f>
        <v>GA</v>
      </c>
      <c r="N12" s="89" t="str">
        <f>VLOOKUP("hdr_gd",langTable,MATCH(langName,_lang!$A$1:$F$1,0),FALSE())</f>
        <v>GD</v>
      </c>
      <c r="O12" s="89" t="str">
        <f>VLOOKUP("hdr_pts",langTable,MATCH(langName,_lang!$A$1:$F$1,0),FALSE())</f>
        <v>Pts</v>
      </c>
      <c r="P12" s="88"/>
      <c r="Q12" s="348" t="str">
        <f>VLOOKUP("hdr_team_uc",langTable,MATCH(langName,_lang!$A$1:$F$1,0),FALSE())</f>
        <v>TEAM</v>
      </c>
      <c r="R12" s="341"/>
      <c r="S12" s="341"/>
      <c r="T12" s="342"/>
      <c r="U12" s="89" t="str">
        <f>VLOOKUP("hdr_p",langTable,MATCH(langName,_lang!$A$1:$F$1,0),FALSE())</f>
        <v>P</v>
      </c>
      <c r="V12" s="89" t="str">
        <f>VLOOKUP("hdr_w",langTable,MATCH(langName,_lang!$A$1:$F$1,0),FALSE())</f>
        <v>W</v>
      </c>
      <c r="W12" s="89" t="str">
        <f>VLOOKUP("hdr_d",langTable,MATCH(langName,_lang!$A$1:$F$1,0),FALSE())</f>
        <v>D</v>
      </c>
      <c r="X12" s="89" t="str">
        <f>VLOOKUP("hdr_l",langTable,MATCH(langName,_lang!$A$1:$F$1,0),FALSE())</f>
        <v>L</v>
      </c>
      <c r="Y12" s="89" t="str">
        <f>VLOOKUP("hdr_gf",langTable,MATCH(langName,_lang!$A$1:$F$1,0),FALSE())</f>
        <v>GF</v>
      </c>
      <c r="Z12" s="89" t="str">
        <f>VLOOKUP("hdr_ga",langTable,MATCH(langName,_lang!$A$1:$F$1,0),FALSE())</f>
        <v>GA</v>
      </c>
      <c r="AA12" s="89" t="str">
        <f>VLOOKUP("hdr_gd",langTable,MATCH(langName,_lang!$A$1:$F$1,0),FALSE())</f>
        <v>GD</v>
      </c>
      <c r="AB12" s="89" t="str">
        <f>VLOOKUP("hdr_pts",langTable,MATCH(langName,_lang!$A$1:$F$1,0),FALSE())</f>
        <v>Pts</v>
      </c>
      <c r="AC12" s="88"/>
      <c r="AD12" s="344" t="str">
        <f>VLOOKUP("hdr_team_uc",langTable,MATCH(langName,_lang!$A$1:$F$1,0),FALSE())</f>
        <v>TEAM</v>
      </c>
      <c r="AE12" s="341"/>
      <c r="AF12" s="341"/>
      <c r="AG12" s="342"/>
      <c r="AH12" s="90" t="str">
        <f>VLOOKUP("hdr_p",langTable,MATCH(langName,_lang!$A$1:$F$1,0),FALSE())</f>
        <v>P</v>
      </c>
      <c r="AI12" s="90" t="str">
        <f>VLOOKUP("hdr_w",langTable,MATCH(langName,_lang!$A$1:$F$1,0),FALSE())</f>
        <v>W</v>
      </c>
      <c r="AJ12" s="90" t="str">
        <f>VLOOKUP("hdr_d",langTable,MATCH(langName,_lang!$A$1:$F$1,0),FALSE())</f>
        <v>D</v>
      </c>
      <c r="AK12" s="90" t="str">
        <f>VLOOKUP("hdr_l",langTable,MATCH(langName,_lang!$A$1:$F$1,0),FALSE())</f>
        <v>L</v>
      </c>
      <c r="AL12" s="90" t="str">
        <f>VLOOKUP("hdr_gf",langTable,MATCH(langName,_lang!$A$1:$F$1,0),FALSE())</f>
        <v>GF</v>
      </c>
      <c r="AM12" s="90" t="str">
        <f>VLOOKUP("hdr_ga",langTable,MATCH(langName,_lang!$A$1:$F$1,0),FALSE())</f>
        <v>GA</v>
      </c>
      <c r="AN12" s="90" t="str">
        <f>VLOOKUP("hdr_gd",langTable,MATCH(langName,_lang!$A$1:$F$1,0),FALSE())</f>
        <v>GD</v>
      </c>
      <c r="AO12" s="90" t="str">
        <f>VLOOKUP("hdr_pts",langTable,MATCH(langName,_lang!$A$1:$F$1,0),FALSE())</f>
        <v>Pts</v>
      </c>
      <c r="AP12" s="221" t="str">
        <f>""&amp;VLOOKUP("fx_title",langTable,MATCH(langName,_lang!$A$1:$F$1,0),FALSE())&amp;""</f>
        <v>&gt;&gt;&gt; PREDICTIONS AND RESULTS</v>
      </c>
      <c r="AQ12" s="214" t="str">
        <f>""&amp;VLOOKUP("fx_title",langTable,MATCH(langName,_lang!$A$1:$F$1,0),FALSE())&amp;""</f>
        <v>&gt;&gt;&gt; PREDICTIONS AND RESULTS</v>
      </c>
      <c r="AR12" s="214" t="str">
        <f>""&amp;VLOOKUP("fx_title",langTable,MATCH(langName,_lang!$A$1:$F$1,0),FALSE())&amp;""</f>
        <v>&gt;&gt;&gt; PREDICTIONS AND RESULTS</v>
      </c>
      <c r="AS12" s="214" t="str">
        <f>""&amp;VLOOKUP("fx_title",langTable,MATCH(langName,_lang!$A$1:$F$1,0),FALSE())&amp;""</f>
        <v>&gt;&gt;&gt; PREDICTIONS AND RESULTS</v>
      </c>
      <c r="AT12" s="214" t="str">
        <f>""&amp;VLOOKUP("fx_title",langTable,MATCH(langName,_lang!$A$1:$F$1,0),FALSE())&amp;""</f>
        <v>&gt;&gt;&gt; PREDICTIONS AND RESULTS</v>
      </c>
      <c r="AU12" s="214" t="str">
        <f>""&amp;VLOOKUP("fx_title",langTable,MATCH(langName,_lang!$A$1:$F$1,0),FALSE())&amp;""</f>
        <v>&gt;&gt;&gt; PREDICTIONS AND RESULTS</v>
      </c>
      <c r="AV12" s="214" t="str">
        <f>""&amp;VLOOKUP("fx_title",langTable,MATCH(langName,_lang!$A$1:$F$1,0),FALSE())&amp;""</f>
        <v>&gt;&gt;&gt; PREDICTIONS AND RESULTS</v>
      </c>
      <c r="AW12" s="214" t="str">
        <f>""&amp;VLOOKUP("fx_title",langTable,MATCH(langName,_lang!$A$1:$F$1,0),FALSE())&amp;""</f>
        <v>&gt;&gt;&gt; PREDICTIONS AND RESULTS</v>
      </c>
      <c r="AX12" s="214" t="str">
        <f>""&amp;VLOOKUP("fx_title",langTable,MATCH(langName,_lang!$A$1:$F$1,0),FALSE())&amp;""</f>
        <v>&gt;&gt;&gt; PREDICTIONS AND RESULTS</v>
      </c>
      <c r="AY12" s="214" t="str">
        <f>""&amp;VLOOKUP("fx_title",langTable,MATCH(langName,_lang!$A$1:$F$1,0),FALSE())&amp;""</f>
        <v>&gt;&gt;&gt; PREDICTIONS AND RESULTS</v>
      </c>
      <c r="AZ12" s="214" t="str">
        <f>""&amp;VLOOKUP("fx_title",langTable,MATCH(langName,_lang!$A$1:$F$1,0),FALSE())&amp;""</f>
        <v>&gt;&gt;&gt; PREDICTIONS AND RESULTS</v>
      </c>
      <c r="BA12" s="214" t="str">
        <f>""&amp;VLOOKUP("fx_title",langTable,MATCH(langName,_lang!$A$1:$F$1,0),FALSE())&amp;""</f>
        <v>&gt;&gt;&gt; PREDICTIONS AND RESULTS</v>
      </c>
      <c r="BB12" s="214" t="str">
        <f>""&amp;VLOOKUP("fx_title",langTable,MATCH(langName,_lang!$A$1:$F$1,0),FALSE())&amp;""</f>
        <v>&gt;&gt;&gt; PREDICTIONS AND RESULTS</v>
      </c>
      <c r="BC12" s="214" t="str">
        <f>""&amp;VLOOKUP("fx_title",langTable,MATCH(langName,_lang!$A$1:$F$1,0),FALSE())&amp;""</f>
        <v>&gt;&gt;&gt; PREDICTIONS AND RESULTS</v>
      </c>
      <c r="BD12" s="214" t="str">
        <f>""&amp;VLOOKUP("fx_title",langTable,MATCH(langName,_lang!$A$1:$F$1,0),FALSE())&amp;""</f>
        <v>&gt;&gt;&gt; PREDICTIONS AND RESULTS</v>
      </c>
      <c r="BE12" s="214" t="str">
        <f>""&amp;VLOOKUP("fx_title",langTable,MATCH(langName,_lang!$A$1:$F$1,0),FALSE())&amp;""</f>
        <v>&gt;&gt;&gt; PREDICTIONS AND RESULTS</v>
      </c>
      <c r="BF12" s="214" t="str">
        <f>""&amp;VLOOKUP("fx_title",langTable,MATCH(langName,_lang!$A$1:$F$1,0),FALSE())&amp;""</f>
        <v>&gt;&gt;&gt; PREDICTIONS AND RESULTS</v>
      </c>
      <c r="BG12" s="214" t="str">
        <f>""&amp;VLOOKUP("fx_title",langTable,MATCH(langName,_lang!$A$1:$F$1,0),FALSE())&amp;""</f>
        <v>&gt;&gt;&gt; PREDICTIONS AND RESULTS</v>
      </c>
      <c r="BH12" s="214" t="str">
        <f>""&amp;VLOOKUP("fx_title",langTable,MATCH(langName,_lang!$A$1:$F$1,0),FALSE())&amp;""</f>
        <v>&gt;&gt;&gt; PREDICTIONS AND RESULTS</v>
      </c>
      <c r="BI12" s="214" t="str">
        <f>""&amp;VLOOKUP("fx_title",langTable,MATCH(langName,_lang!$A$1:$F$1,0),FALSE())&amp;""</f>
        <v>&gt;&gt;&gt; PREDICTIONS AND RESULTS</v>
      </c>
      <c r="BJ12" s="214" t="str">
        <f>""&amp;VLOOKUP("fx_title",langTable,MATCH(langName,_lang!$A$1:$F$1,0),FALSE())&amp;""</f>
        <v>&gt;&gt;&gt; PREDICTIONS AND RESULTS</v>
      </c>
      <c r="BK12" s="214" t="str">
        <f>""&amp;VLOOKUP("fx_title",langTable,MATCH(langName,_lang!$A$1:$F$1,0),FALSE())&amp;""</f>
        <v>&gt;&gt;&gt; PREDICTIONS AND RESULTS</v>
      </c>
      <c r="BL12" s="214" t="str">
        <f>""&amp;VLOOKUP("fx_title",langTable,MATCH(langName,_lang!$A$1:$F$1,0),FALSE())&amp;""</f>
        <v>&gt;&gt;&gt; PREDICTIONS AND RESULTS</v>
      </c>
      <c r="BM12" s="214" t="str">
        <f>""&amp;VLOOKUP("fx_title",langTable,MATCH(langName,_lang!$A$1:$F$1,0),FALSE())&amp;""</f>
        <v>&gt;&gt;&gt; PREDICTIONS AND RESULTS</v>
      </c>
      <c r="BN12" s="214" t="str">
        <f>""&amp;VLOOKUP("fx_title",langTable,MATCH(langName,_lang!$A$1:$F$1,0),FALSE())&amp;""</f>
        <v>&gt;&gt;&gt; PREDICTIONS AND RESULTS</v>
      </c>
      <c r="BO12" s="214" t="str">
        <f>""&amp;VLOOKUP("fx_title",langTable,MATCH(langName,_lang!$A$1:$F$1,0),FALSE())&amp;""</f>
        <v>&gt;&gt;&gt; PREDICTIONS AND RESULTS</v>
      </c>
      <c r="BP12" s="214" t="str">
        <f>""&amp;VLOOKUP("fx_title",langTable,MATCH(langName,_lang!$A$1:$F$1,0),FALSE())&amp;""</f>
        <v>&gt;&gt;&gt; PREDICTIONS AND RESULTS</v>
      </c>
      <c r="BQ12" s="214" t="str">
        <f>""&amp;VLOOKUP("fx_title",langTable,MATCH(langName,_lang!$A$1:$F$1,0),FALSE())&amp;""</f>
        <v>&gt;&gt;&gt; PREDICTIONS AND RESULTS</v>
      </c>
      <c r="BR12" s="214" t="str">
        <f>""&amp;VLOOKUP("fx_title",langTable,MATCH(langName,_lang!$A$1:$F$1,0),FALSE())&amp;""</f>
        <v>&gt;&gt;&gt; PREDICTIONS AND RESULTS</v>
      </c>
      <c r="BS12" s="214" t="str">
        <f>""&amp;VLOOKUP("fx_title",langTable,MATCH(langName,_lang!$A$1:$F$1,0),FALSE())&amp;""</f>
        <v>&gt;&gt;&gt; PREDICTIONS AND RESULTS</v>
      </c>
      <c r="BT12" s="214" t="str">
        <f>""&amp;VLOOKUP("fx_title",langTable,MATCH(langName,_lang!$A$1:$F$1,0),FALSE())&amp;""</f>
        <v>&gt;&gt;&gt; PREDICTIONS AND RESULTS</v>
      </c>
      <c r="BU12" s="214" t="str">
        <f>""&amp;VLOOKUP("fx_title",langTable,MATCH(langName,_lang!$A$1:$F$1,0),FALSE())&amp;""</f>
        <v>&gt;&gt;&gt; PREDICTIONS AND RESULTS</v>
      </c>
      <c r="BV12" s="214" t="str">
        <f>""&amp;VLOOKUP("fx_title",langTable,MATCH(langName,_lang!$A$1:$F$1,0),FALSE())&amp;""</f>
        <v>&gt;&gt;&gt; PREDICTIONS AND RESULTS</v>
      </c>
      <c r="BW12" s="214" t="str">
        <f>""&amp;VLOOKUP("fx_title",langTable,MATCH(langName,_lang!$A$1:$F$1,0),FALSE())&amp;""</f>
        <v>&gt;&gt;&gt; PREDICTIONS AND RESULTS</v>
      </c>
      <c r="BX12" s="214" t="str">
        <f>""&amp;VLOOKUP("fx_title",langTable,MATCH(langName,_lang!$A$1:$F$1,0),FALSE())&amp;""</f>
        <v>&gt;&gt;&gt; PREDICTIONS AND RESULTS</v>
      </c>
      <c r="BY12" s="214" t="str">
        <f>""&amp;VLOOKUP("fx_title",langTable,MATCH(langName,_lang!$A$1:$F$1,0),FALSE())&amp;""</f>
        <v>&gt;&gt;&gt; PREDICTIONS AND RESULTS</v>
      </c>
      <c r="BZ12" s="214" t="str">
        <f>""&amp;VLOOKUP("fx_title",langTable,MATCH(langName,_lang!$A$1:$F$1,0),FALSE())&amp;""</f>
        <v>&gt;&gt;&gt; PREDICTIONS AND RESULTS</v>
      </c>
      <c r="CA12" s="214" t="str">
        <f>""&amp;VLOOKUP("fx_title",langTable,MATCH(langName,_lang!$A$1:$F$1,0),FALSE())&amp;""</f>
        <v>&gt;&gt;&gt; PREDICTIONS AND RESULTS</v>
      </c>
      <c r="CB12" s="214" t="str">
        <f>""&amp;VLOOKUP("fx_title",langTable,MATCH(langName,_lang!$A$1:$F$1,0),FALSE())&amp;""</f>
        <v>&gt;&gt;&gt; PREDICTIONS AND RESULTS</v>
      </c>
      <c r="CC12" s="214" t="str">
        <f>""&amp;VLOOKUP("fx_title",langTable,MATCH(langName,_lang!$A$1:$F$1,0),FALSE())&amp;""</f>
        <v>&gt;&gt;&gt; PREDICTIONS AND RESULTS</v>
      </c>
      <c r="CD12" s="214" t="str">
        <f>""&amp;VLOOKUP("fx_title",langTable,MATCH(langName,_lang!$A$1:$F$1,0),FALSE())&amp;""</f>
        <v>&gt;&gt;&gt; PREDICTIONS AND RESULTS</v>
      </c>
      <c r="CE12" s="214" t="str">
        <f>""&amp;VLOOKUP("fx_title",langTable,MATCH(langName,_lang!$A$1:$F$1,0),FALSE())&amp;""</f>
        <v>&gt;&gt;&gt; PREDICTIONS AND RESULTS</v>
      </c>
      <c r="CF12" s="214" t="str">
        <f>""&amp;VLOOKUP("fx_title",langTable,MATCH(langName,_lang!$A$1:$F$1,0),FALSE())&amp;""</f>
        <v>&gt;&gt;&gt; PREDICTIONS AND RESULTS</v>
      </c>
      <c r="CG12" s="214" t="str">
        <f>""&amp;VLOOKUP("fx_title",langTable,MATCH(langName,_lang!$A$1:$F$1,0),FALSE())&amp;""</f>
        <v>&gt;&gt;&gt; PREDICTIONS AND RESULTS</v>
      </c>
      <c r="CH12" s="214" t="str">
        <f>""&amp;VLOOKUP("fx_title",langTable,MATCH(langName,_lang!$A$1:$F$1,0),FALSE())&amp;""</f>
        <v>&gt;&gt;&gt; PREDICTIONS AND RESULTS</v>
      </c>
      <c r="CI12" s="214" t="str">
        <f>""&amp;VLOOKUP("fx_title",langTable,MATCH(langName,_lang!$A$1:$F$1,0),FALSE())&amp;""</f>
        <v>&gt;&gt;&gt; PREDICTIONS AND RESULTS</v>
      </c>
      <c r="CJ12" s="214" t="str">
        <f>""&amp;VLOOKUP("fx_title",langTable,MATCH(langName,_lang!$A$1:$F$1,0),FALSE())&amp;""</f>
        <v>&gt;&gt;&gt; PREDICTIONS AND RESULTS</v>
      </c>
      <c r="CK12" s="214" t="str">
        <f>""&amp;VLOOKUP("fx_title",langTable,MATCH(langName,_lang!$A$1:$F$1,0),FALSE())&amp;""</f>
        <v>&gt;&gt;&gt; PREDICTIONS AND RESULTS</v>
      </c>
      <c r="CL12" s="214" t="str">
        <f>""&amp;VLOOKUP("fx_title",langTable,MATCH(langName,_lang!$A$1:$F$1,0),FALSE())&amp;""</f>
        <v>&gt;&gt;&gt; PREDICTIONS AND RESULTS</v>
      </c>
      <c r="CM12" s="214" t="str">
        <f>""&amp;VLOOKUP("fx_title",langTable,MATCH(langName,_lang!$A$1:$F$1,0),FALSE())&amp;""</f>
        <v>&gt;&gt;&gt; PREDICTIONS AND RESULTS</v>
      </c>
      <c r="CN12" s="214" t="str">
        <f>""&amp;VLOOKUP("fx_title",langTable,MATCH(langName,_lang!$A$1:$F$1,0),FALSE())&amp;""</f>
        <v>&gt;&gt;&gt; PREDICTIONS AND RESULTS</v>
      </c>
      <c r="CO12" s="214" t="str">
        <f>""&amp;VLOOKUP("fx_title",langTable,MATCH(langName,_lang!$A$1:$F$1,0),FALSE())&amp;""</f>
        <v>&gt;&gt;&gt; PREDICTIONS AND RESULTS</v>
      </c>
    </row>
    <row r="13" spans="1:93" ht="15" customHeight="1">
      <c r="A13" s="34"/>
      <c r="B13" s="201"/>
      <c r="C13" s="212"/>
      <c r="D13" s="340" t="s">
        <v>8</v>
      </c>
      <c r="E13" s="341"/>
      <c r="F13" s="341"/>
      <c r="G13" s="342"/>
      <c r="H13" s="179">
        <f>SUMPRODUCT(('Predictions &amp; Results'!$H$12:$H$83="GA")*'Predictions &amp; Results'!$T$12:$T$83*(('Predictions &amp; Results'!$I$12:$I$83=$D$13)+('Predictions &amp; Results'!$J$12:$J$83=$D$13)))</f>
        <v>0</v>
      </c>
      <c r="I13" s="179">
        <f>SUMPRODUCT(('Predictions &amp; Results'!$H$12:$H$83="GA")*'Predictions &amp; Results'!$T$12:$T$83*(('Predictions &amp; Results'!$I$12:$I$83=$D$13)*('Predictions &amp; Results'!$R$12:$R$83&gt;'Predictions &amp; Results'!$S$12:$S$83)+('Predictions &amp; Results'!$J$12:$J$83=$D$13)*('Predictions &amp; Results'!$S$12:$S$83&gt;'Predictions &amp; Results'!$R$12:$R$83)))</f>
        <v>0</v>
      </c>
      <c r="J13" s="179">
        <f>SUMPRODUCT(('Predictions &amp; Results'!$H$12:$H$83="GA")*'Predictions &amp; Results'!$T$12:$T$83*(('Predictions &amp; Results'!$I$12:$I$83=$D$13)+('Predictions &amp; Results'!$J$12:$J$83=$D$13))*('Predictions &amp; Results'!$R$12:$R$83='Predictions &amp; Results'!$S$12:$S$83))</f>
        <v>0</v>
      </c>
      <c r="K13" s="179">
        <f>SUMPRODUCT(('Predictions &amp; Results'!$H$12:$H$83="GA")*'Predictions &amp; Results'!$T$12:$T$83*(('Predictions &amp; Results'!$I$12:$I$83=$D$13)*('Predictions &amp; Results'!$R$12:$R$83&lt;'Predictions &amp; Results'!$S$12:$S$83)+('Predictions &amp; Results'!$J$12:$J$83=$D$13)*('Predictions &amp; Results'!$S$12:$S$83&lt;'Predictions &amp; Results'!$R$12:$R$83)))</f>
        <v>0</v>
      </c>
      <c r="L13" s="179">
        <f>SUMPRODUCT(('Predictions &amp; Results'!$H$12:$H$83="GA")*'Predictions &amp; Results'!$T$12:$T$83*(('Predictions &amp; Results'!$I$12:$I$83=$D$13)*'Predictions &amp; Results'!$R$12:$R$83+('Predictions &amp; Results'!$J$12:$J$83=$D$13)*'Predictions &amp; Results'!$S$12:$S$83))</f>
        <v>0</v>
      </c>
      <c r="M13" s="179">
        <f>SUMPRODUCT(('Predictions &amp; Results'!$H$12:$H$83="GA")*'Predictions &amp; Results'!$T$12:$T$83*(('Predictions &amp; Results'!$I$12:$I$83=$D$13)*'Predictions &amp; Results'!$S$12:$S$83+('Predictions &amp; Results'!$J$12:$J$83=$D$13)*'Predictions &amp; Results'!$R$12:$R$83))</f>
        <v>0</v>
      </c>
      <c r="N13" s="179">
        <f>L13-M13</f>
        <v>0</v>
      </c>
      <c r="O13" s="179">
        <f>I13*3+J13</f>
        <v>0</v>
      </c>
      <c r="P13" s="91">
        <f>IF(SUM($H$13:$H$16)=0,0,1+((O14&gt;O13)+(O14=O13)*(N14&gt;N13)+(O14=O13)*(N14=N13)*(L14&gt;L13)+(O14=O13)*(N14=N13)*(L14=L13)*(14&lt;13))+((O15&gt;O13)+(O15=O13)*(N15&gt;N13)+(O15=O13)*(N15=N13)*(L15&gt;L13)+(O15=O13)*(N15=N13)*(L15=L13)*(15&lt;13))+((O16&gt;O13)+(O16=O13)*(N16&gt;N13)+(O16=O13)*(N16=N13)*(L16&gt;L13)+(O16=O13)*(N16=N13)*(L16=L13)*(16&lt;13)))</f>
        <v>0</v>
      </c>
      <c r="Q13" s="340" t="s">
        <v>15</v>
      </c>
      <c r="R13" s="341"/>
      <c r="S13" s="341"/>
      <c r="T13" s="342"/>
      <c r="U13" s="179">
        <f>SUMPRODUCT(('Predictions &amp; Results'!$H$12:$H$83="GB")*'Predictions &amp; Results'!$T$12:$T$83*(('Predictions &amp; Results'!$I$12:$I$83=$Q$13)+('Predictions &amp; Results'!$J$12:$J$83=$Q$13)))</f>
        <v>0</v>
      </c>
      <c r="V13" s="179">
        <f>SUMPRODUCT(('Predictions &amp; Results'!$H$12:$H$83="GB")*'Predictions &amp; Results'!$T$12:$T$83*(('Predictions &amp; Results'!$I$12:$I$83=$Q$13)*('Predictions &amp; Results'!$R$12:$R$83&gt;'Predictions &amp; Results'!$S$12:$S$83)+('Predictions &amp; Results'!$J$12:$J$83=$Q$13)*('Predictions &amp; Results'!$S$12:$S$83&gt;'Predictions &amp; Results'!$R$12:$R$83)))</f>
        <v>0</v>
      </c>
      <c r="W13" s="179">
        <f>SUMPRODUCT(('Predictions &amp; Results'!$H$12:$H$83="GB")*'Predictions &amp; Results'!$T$12:$T$83*(('Predictions &amp; Results'!$I$12:$I$83=$Q$13)+('Predictions &amp; Results'!$J$12:$J$83=$Q$13))*('Predictions &amp; Results'!$R$12:$R$83='Predictions &amp; Results'!$S$12:$S$83))</f>
        <v>0</v>
      </c>
      <c r="X13" s="179">
        <f>SUMPRODUCT(('Predictions &amp; Results'!$H$12:$H$83="GB")*'Predictions &amp; Results'!$T$12:$T$83*(('Predictions &amp; Results'!$I$12:$I$83=$Q$13)*('Predictions &amp; Results'!$R$12:$R$83&lt;'Predictions &amp; Results'!$S$12:$S$83)+('Predictions &amp; Results'!$J$12:$J$83=$Q$13)*('Predictions &amp; Results'!$S$12:$S$83&lt;'Predictions &amp; Results'!$R$12:$R$83)))</f>
        <v>0</v>
      </c>
      <c r="Y13" s="179">
        <f>SUMPRODUCT(('Predictions &amp; Results'!$H$12:$H$83="GB")*'Predictions &amp; Results'!$T$12:$T$83*(('Predictions &amp; Results'!$I$12:$I$83=$Q$13)*'Predictions &amp; Results'!$R$12:$R$83+('Predictions &amp; Results'!$J$12:$J$83=$Q$13)*'Predictions &amp; Results'!$S$12:$S$83))</f>
        <v>0</v>
      </c>
      <c r="Z13" s="179">
        <f>SUMPRODUCT(('Predictions &amp; Results'!$H$12:$H$83="GB")*'Predictions &amp; Results'!$T$12:$T$83*(('Predictions &amp; Results'!$I$12:$I$83=$Q$13)*'Predictions &amp; Results'!$S$12:$S$83+('Predictions &amp; Results'!$J$12:$J$83=$Q$13)*'Predictions &amp; Results'!$R$12:$R$83))</f>
        <v>0</v>
      </c>
      <c r="AA13" s="179">
        <f>Y13-Z13</f>
        <v>0</v>
      </c>
      <c r="AB13" s="179">
        <f>V13*3+W13</f>
        <v>0</v>
      </c>
      <c r="AC13" s="91">
        <f>IF(SUM($U$13:$U$16)=0,0,1+((AB14&gt;AB13)+(AB14=AB13)*(AA14&gt;AA13)+(AB14=AB13)*(AA14=AA13)*(Y14&gt;Y13)+(AB14=AB13)*(AA14=AA13)*(Y14=Y13)*(14&lt;13))+((AB15&gt;AB13)+(AB15=AB13)*(AA15&gt;AA13)+(AB15=AB13)*(AA15=AA13)*(Y15&gt;Y13)+(AB15=AB13)*(AA15=AA13)*(Y15=Y13)*(15&lt;13))+((AB16&gt;AB13)+(AB16=AB13)*(AA16&gt;AA13)+(AB16=AB13)*(AA16=AA13)*(Y16&gt;Y13)+(AB16=AB13)*(AA16=AA13)*(Y16=Y13)*(16&lt;13)))</f>
        <v>0</v>
      </c>
      <c r="AD13" s="340" t="s">
        <v>26</v>
      </c>
      <c r="AE13" s="341"/>
      <c r="AF13" s="341"/>
      <c r="AG13" s="342"/>
      <c r="AH13" s="179">
        <f>SUMPRODUCT(('Predictions &amp; Results'!$H$12:$H$83="GC")*'Predictions &amp; Results'!$T$12:$T$83*(('Predictions &amp; Results'!$I$12:$I$83=$AD$13)+('Predictions &amp; Results'!$J$12:$J$83=$AD$13)))</f>
        <v>0</v>
      </c>
      <c r="AI13" s="179">
        <f>SUMPRODUCT(('Predictions &amp; Results'!$H$12:$H$83="GC")*'Predictions &amp; Results'!$T$12:$T$83*(('Predictions &amp; Results'!$I$12:$I$83=$AD$13)*('Predictions &amp; Results'!$R$12:$R$83&gt;'Predictions &amp; Results'!$S$12:$S$83)+('Predictions &amp; Results'!$J$12:$J$83=$AD$13)*('Predictions &amp; Results'!$S$12:$S$83&gt;'Predictions &amp; Results'!$R$12:$R$83)))</f>
        <v>0</v>
      </c>
      <c r="AJ13" s="179">
        <f>SUMPRODUCT(('Predictions &amp; Results'!$H$12:$H$83="GC")*'Predictions &amp; Results'!$T$12:$T$83*(('Predictions &amp; Results'!$I$12:$I$83=$AD$13)+('Predictions &amp; Results'!$J$12:$J$83=$AD$13))*('Predictions &amp; Results'!$R$12:$R$83='Predictions &amp; Results'!$S$12:$S$83))</f>
        <v>0</v>
      </c>
      <c r="AK13" s="179">
        <f>SUMPRODUCT(('Predictions &amp; Results'!$H$12:$H$83="GC")*'Predictions &amp; Results'!$T$12:$T$83*(('Predictions &amp; Results'!$I$12:$I$83=$AD$13)*('Predictions &amp; Results'!$R$12:$R$83&lt;'Predictions &amp; Results'!$S$12:$S$83)+('Predictions &amp; Results'!$J$12:$J$83=$AD$13)*('Predictions &amp; Results'!$S$12:$S$83&lt;'Predictions &amp; Results'!$R$12:$R$83)))</f>
        <v>0</v>
      </c>
      <c r="AL13" s="179">
        <f>SUMPRODUCT(('Predictions &amp; Results'!$H$12:$H$83="GC")*'Predictions &amp; Results'!$T$12:$T$83*(('Predictions &amp; Results'!$I$12:$I$83=$AD$13)*'Predictions &amp; Results'!$R$12:$R$83+('Predictions &amp; Results'!$J$12:$J$83=$AD$13)*'Predictions &amp; Results'!$S$12:$S$83))</f>
        <v>0</v>
      </c>
      <c r="AM13" s="179">
        <f>SUMPRODUCT(('Predictions &amp; Results'!$H$12:$H$83="GC")*'Predictions &amp; Results'!$T$12:$T$83*(('Predictions &amp; Results'!$I$12:$I$83=$AD$13)*'Predictions &amp; Results'!$S$12:$S$83+('Predictions &amp; Results'!$J$12:$J$83=$AD$13)*'Predictions &amp; Results'!$R$12:$R$83))</f>
        <v>0</v>
      </c>
      <c r="AN13" s="179">
        <f>AL13-AM13</f>
        <v>0</v>
      </c>
      <c r="AO13" s="179">
        <f>AI13*3+AJ13</f>
        <v>0</v>
      </c>
      <c r="AP13" s="221">
        <f>IF(SUM($AH$13:$AH$16)=0,0,1+((AO14&gt;AO13)+(AO14=AO13)*(AN14&gt;AN13)+(AO14=AO13)*(AN14=AN13)*(AL14&gt;AL13)+(AO14=AO13)*(AN14=AN13)*(AL14=AL13)*(14&lt;13))+((AO15&gt;AO13)+(AO15=AO13)*(AN15&gt;AN13)+(AO15=AO13)*(AN15=AN13)*(AL15&gt;AL13)+(AO15=AO13)*(AN15=AN13)*(AL15=AL13)*(15&lt;13))+((AO16&gt;AO13)+(AO16=AO13)*(AN16&gt;AN13)+(AO16=AO13)*(AN16=AN13)*(AL16&gt;AL13)+(AO16=AO13)*(AN16=AN13)*(AL16=AL13)*(16&lt;13)))</f>
        <v>0</v>
      </c>
      <c r="AQ13" s="214" t="str">
        <f>""&amp;VLOOKUP("fx_title",langTable,MATCH(langName,_lang!$A$1:$F$1,0),FALSE())&amp;""</f>
        <v>&gt;&gt;&gt; PREDICTIONS AND RESULTS</v>
      </c>
      <c r="AR13" s="214" t="str">
        <f>""&amp;VLOOKUP("fx_title",langTable,MATCH(langName,_lang!$A$1:$F$1,0),FALSE())&amp;""</f>
        <v>&gt;&gt;&gt; PREDICTIONS AND RESULTS</v>
      </c>
      <c r="AS13" s="214" t="str">
        <f>""&amp;VLOOKUP("fx_title",langTable,MATCH(langName,_lang!$A$1:$F$1,0),FALSE())&amp;""</f>
        <v>&gt;&gt;&gt; PREDICTIONS AND RESULTS</v>
      </c>
      <c r="AT13" s="214" t="str">
        <f>""&amp;VLOOKUP("fx_title",langTable,MATCH(langName,_lang!$A$1:$F$1,0),FALSE())&amp;""</f>
        <v>&gt;&gt;&gt; PREDICTIONS AND RESULTS</v>
      </c>
      <c r="AU13" s="214" t="str">
        <f>""&amp;VLOOKUP("fx_title",langTable,MATCH(langName,_lang!$A$1:$F$1,0),FALSE())&amp;""</f>
        <v>&gt;&gt;&gt; PREDICTIONS AND RESULTS</v>
      </c>
      <c r="AV13" s="214" t="str">
        <f>""&amp;VLOOKUP("fx_title",langTable,MATCH(langName,_lang!$A$1:$F$1,0),FALSE())&amp;""</f>
        <v>&gt;&gt;&gt; PREDICTIONS AND RESULTS</v>
      </c>
      <c r="AW13" s="214" t="str">
        <f>""&amp;VLOOKUP("fx_title",langTable,MATCH(langName,_lang!$A$1:$F$1,0),FALSE())&amp;""</f>
        <v>&gt;&gt;&gt; PREDICTIONS AND RESULTS</v>
      </c>
      <c r="AX13" s="214" t="str">
        <f>""&amp;VLOOKUP("fx_title",langTable,MATCH(langName,_lang!$A$1:$F$1,0),FALSE())&amp;""</f>
        <v>&gt;&gt;&gt; PREDICTIONS AND RESULTS</v>
      </c>
      <c r="AY13" s="214" t="str">
        <f>""&amp;VLOOKUP("fx_title",langTable,MATCH(langName,_lang!$A$1:$F$1,0),FALSE())&amp;""</f>
        <v>&gt;&gt;&gt; PREDICTIONS AND RESULTS</v>
      </c>
      <c r="AZ13" s="214" t="str">
        <f>""&amp;VLOOKUP("fx_title",langTable,MATCH(langName,_lang!$A$1:$F$1,0),FALSE())&amp;""</f>
        <v>&gt;&gt;&gt; PREDICTIONS AND RESULTS</v>
      </c>
      <c r="BA13" s="214" t="str">
        <f>""&amp;VLOOKUP("fx_title",langTable,MATCH(langName,_lang!$A$1:$F$1,0),FALSE())&amp;""</f>
        <v>&gt;&gt;&gt; PREDICTIONS AND RESULTS</v>
      </c>
      <c r="BB13" s="214" t="str">
        <f>""&amp;VLOOKUP("fx_title",langTable,MATCH(langName,_lang!$A$1:$F$1,0),FALSE())&amp;""</f>
        <v>&gt;&gt;&gt; PREDICTIONS AND RESULTS</v>
      </c>
      <c r="BC13" s="214" t="str">
        <f>""&amp;VLOOKUP("fx_title",langTable,MATCH(langName,_lang!$A$1:$F$1,0),FALSE())&amp;""</f>
        <v>&gt;&gt;&gt; PREDICTIONS AND RESULTS</v>
      </c>
      <c r="BD13" s="214" t="str">
        <f>""&amp;VLOOKUP("fx_title",langTable,MATCH(langName,_lang!$A$1:$F$1,0),FALSE())&amp;""</f>
        <v>&gt;&gt;&gt; PREDICTIONS AND RESULTS</v>
      </c>
      <c r="BE13" s="214" t="str">
        <f>""&amp;VLOOKUP("fx_title",langTable,MATCH(langName,_lang!$A$1:$F$1,0),FALSE())&amp;""</f>
        <v>&gt;&gt;&gt; PREDICTIONS AND RESULTS</v>
      </c>
      <c r="BF13" s="214" t="str">
        <f>""&amp;VLOOKUP("fx_title",langTable,MATCH(langName,_lang!$A$1:$F$1,0),FALSE())&amp;""</f>
        <v>&gt;&gt;&gt; PREDICTIONS AND RESULTS</v>
      </c>
      <c r="BG13" s="214" t="str">
        <f>""&amp;VLOOKUP("fx_title",langTable,MATCH(langName,_lang!$A$1:$F$1,0),FALSE())&amp;""</f>
        <v>&gt;&gt;&gt; PREDICTIONS AND RESULTS</v>
      </c>
      <c r="BH13" s="214" t="str">
        <f>""&amp;VLOOKUP("fx_title",langTable,MATCH(langName,_lang!$A$1:$F$1,0),FALSE())&amp;""</f>
        <v>&gt;&gt;&gt; PREDICTIONS AND RESULTS</v>
      </c>
      <c r="BI13" s="214" t="str">
        <f>""&amp;VLOOKUP("fx_title",langTable,MATCH(langName,_lang!$A$1:$F$1,0),FALSE())&amp;""</f>
        <v>&gt;&gt;&gt; PREDICTIONS AND RESULTS</v>
      </c>
      <c r="BJ13" s="214" t="str">
        <f>""&amp;VLOOKUP("fx_title",langTable,MATCH(langName,_lang!$A$1:$F$1,0),FALSE())&amp;""</f>
        <v>&gt;&gt;&gt; PREDICTIONS AND RESULTS</v>
      </c>
      <c r="BK13" s="214" t="str">
        <f>""&amp;VLOOKUP("fx_title",langTable,MATCH(langName,_lang!$A$1:$F$1,0),FALSE())&amp;""</f>
        <v>&gt;&gt;&gt; PREDICTIONS AND RESULTS</v>
      </c>
      <c r="BL13" s="214" t="str">
        <f>""&amp;VLOOKUP("fx_title",langTable,MATCH(langName,_lang!$A$1:$F$1,0),FALSE())&amp;""</f>
        <v>&gt;&gt;&gt; PREDICTIONS AND RESULTS</v>
      </c>
      <c r="BM13" s="214" t="str">
        <f>""&amp;VLOOKUP("fx_title",langTable,MATCH(langName,_lang!$A$1:$F$1,0),FALSE())&amp;""</f>
        <v>&gt;&gt;&gt; PREDICTIONS AND RESULTS</v>
      </c>
      <c r="BN13" s="214" t="str">
        <f>""&amp;VLOOKUP("fx_title",langTable,MATCH(langName,_lang!$A$1:$F$1,0),FALSE())&amp;""</f>
        <v>&gt;&gt;&gt; PREDICTIONS AND RESULTS</v>
      </c>
      <c r="BO13" s="214" t="str">
        <f>""&amp;VLOOKUP("fx_title",langTable,MATCH(langName,_lang!$A$1:$F$1,0),FALSE())&amp;""</f>
        <v>&gt;&gt;&gt; PREDICTIONS AND RESULTS</v>
      </c>
      <c r="BP13" s="214" t="str">
        <f>""&amp;VLOOKUP("fx_title",langTable,MATCH(langName,_lang!$A$1:$F$1,0),FALSE())&amp;""</f>
        <v>&gt;&gt;&gt; PREDICTIONS AND RESULTS</v>
      </c>
      <c r="BQ13" s="214" t="str">
        <f>""&amp;VLOOKUP("fx_title",langTable,MATCH(langName,_lang!$A$1:$F$1,0),FALSE())&amp;""</f>
        <v>&gt;&gt;&gt; PREDICTIONS AND RESULTS</v>
      </c>
      <c r="BR13" s="214" t="str">
        <f>""&amp;VLOOKUP("fx_title",langTable,MATCH(langName,_lang!$A$1:$F$1,0),FALSE())&amp;""</f>
        <v>&gt;&gt;&gt; PREDICTIONS AND RESULTS</v>
      </c>
      <c r="BS13" s="214" t="str">
        <f>""&amp;VLOOKUP("fx_title",langTable,MATCH(langName,_lang!$A$1:$F$1,0),FALSE())&amp;""</f>
        <v>&gt;&gt;&gt; PREDICTIONS AND RESULTS</v>
      </c>
      <c r="BT13" s="214" t="str">
        <f>""&amp;VLOOKUP("fx_title",langTable,MATCH(langName,_lang!$A$1:$F$1,0),FALSE())&amp;""</f>
        <v>&gt;&gt;&gt; PREDICTIONS AND RESULTS</v>
      </c>
      <c r="BU13" s="214" t="str">
        <f>""&amp;VLOOKUP("fx_title",langTable,MATCH(langName,_lang!$A$1:$F$1,0),FALSE())&amp;""</f>
        <v>&gt;&gt;&gt; PREDICTIONS AND RESULTS</v>
      </c>
      <c r="BV13" s="214" t="str">
        <f>""&amp;VLOOKUP("fx_title",langTable,MATCH(langName,_lang!$A$1:$F$1,0),FALSE())&amp;""</f>
        <v>&gt;&gt;&gt; PREDICTIONS AND RESULTS</v>
      </c>
      <c r="BW13" s="214" t="str">
        <f>""&amp;VLOOKUP("fx_title",langTable,MATCH(langName,_lang!$A$1:$F$1,0),FALSE())&amp;""</f>
        <v>&gt;&gt;&gt; PREDICTIONS AND RESULTS</v>
      </c>
      <c r="BX13" s="214" t="str">
        <f>""&amp;VLOOKUP("fx_title",langTable,MATCH(langName,_lang!$A$1:$F$1,0),FALSE())&amp;""</f>
        <v>&gt;&gt;&gt; PREDICTIONS AND RESULTS</v>
      </c>
      <c r="BY13" s="214" t="str">
        <f>""&amp;VLOOKUP("fx_title",langTable,MATCH(langName,_lang!$A$1:$F$1,0),FALSE())&amp;""</f>
        <v>&gt;&gt;&gt; PREDICTIONS AND RESULTS</v>
      </c>
      <c r="BZ13" s="214" t="str">
        <f>""&amp;VLOOKUP("fx_title",langTable,MATCH(langName,_lang!$A$1:$F$1,0),FALSE())&amp;""</f>
        <v>&gt;&gt;&gt; PREDICTIONS AND RESULTS</v>
      </c>
      <c r="CA13" s="214" t="str">
        <f>""&amp;VLOOKUP("fx_title",langTable,MATCH(langName,_lang!$A$1:$F$1,0),FALSE())&amp;""</f>
        <v>&gt;&gt;&gt; PREDICTIONS AND RESULTS</v>
      </c>
      <c r="CB13" s="214" t="str">
        <f>""&amp;VLOOKUP("fx_title",langTable,MATCH(langName,_lang!$A$1:$F$1,0),FALSE())&amp;""</f>
        <v>&gt;&gt;&gt; PREDICTIONS AND RESULTS</v>
      </c>
      <c r="CC13" s="214" t="str">
        <f>""&amp;VLOOKUP("fx_title",langTable,MATCH(langName,_lang!$A$1:$F$1,0),FALSE())&amp;""</f>
        <v>&gt;&gt;&gt; PREDICTIONS AND RESULTS</v>
      </c>
      <c r="CD13" s="214" t="str">
        <f>""&amp;VLOOKUP("fx_title",langTable,MATCH(langName,_lang!$A$1:$F$1,0),FALSE())&amp;""</f>
        <v>&gt;&gt;&gt; PREDICTIONS AND RESULTS</v>
      </c>
      <c r="CE13" s="214" t="str">
        <f>""&amp;VLOOKUP("fx_title",langTable,MATCH(langName,_lang!$A$1:$F$1,0),FALSE())&amp;""</f>
        <v>&gt;&gt;&gt; PREDICTIONS AND RESULTS</v>
      </c>
      <c r="CF13" s="214" t="str">
        <f>""&amp;VLOOKUP("fx_title",langTable,MATCH(langName,_lang!$A$1:$F$1,0),FALSE())&amp;""</f>
        <v>&gt;&gt;&gt; PREDICTIONS AND RESULTS</v>
      </c>
      <c r="CG13" s="214" t="str">
        <f>""&amp;VLOOKUP("fx_title",langTable,MATCH(langName,_lang!$A$1:$F$1,0),FALSE())&amp;""</f>
        <v>&gt;&gt;&gt; PREDICTIONS AND RESULTS</v>
      </c>
      <c r="CH13" s="214" t="str">
        <f>""&amp;VLOOKUP("fx_title",langTable,MATCH(langName,_lang!$A$1:$F$1,0),FALSE())&amp;""</f>
        <v>&gt;&gt;&gt; PREDICTIONS AND RESULTS</v>
      </c>
      <c r="CI13" s="214" t="str">
        <f>""&amp;VLOOKUP("fx_title",langTable,MATCH(langName,_lang!$A$1:$F$1,0),FALSE())&amp;""</f>
        <v>&gt;&gt;&gt; PREDICTIONS AND RESULTS</v>
      </c>
      <c r="CJ13" s="214" t="str">
        <f>""&amp;VLOOKUP("fx_title",langTable,MATCH(langName,_lang!$A$1:$F$1,0),FALSE())&amp;""</f>
        <v>&gt;&gt;&gt; PREDICTIONS AND RESULTS</v>
      </c>
      <c r="CK13" s="214" t="str">
        <f>""&amp;VLOOKUP("fx_title",langTable,MATCH(langName,_lang!$A$1:$F$1,0),FALSE())&amp;""</f>
        <v>&gt;&gt;&gt; PREDICTIONS AND RESULTS</v>
      </c>
      <c r="CL13" s="214" t="str">
        <f>""&amp;VLOOKUP("fx_title",langTable,MATCH(langName,_lang!$A$1:$F$1,0),FALSE())&amp;""</f>
        <v>&gt;&gt;&gt; PREDICTIONS AND RESULTS</v>
      </c>
      <c r="CM13" s="214" t="str">
        <f>""&amp;VLOOKUP("fx_title",langTable,MATCH(langName,_lang!$A$1:$F$1,0),FALSE())&amp;""</f>
        <v>&gt;&gt;&gt; PREDICTIONS AND RESULTS</v>
      </c>
      <c r="CN13" s="214" t="str">
        <f>""&amp;VLOOKUP("fx_title",langTable,MATCH(langName,_lang!$A$1:$F$1,0),FALSE())&amp;""</f>
        <v>&gt;&gt;&gt; PREDICTIONS AND RESULTS</v>
      </c>
      <c r="CO13" s="214" t="str">
        <f>""&amp;VLOOKUP("fx_title",langTable,MATCH(langName,_lang!$A$1:$F$1,0),FALSE())&amp;""</f>
        <v>&gt;&gt;&gt; PREDICTIONS AND RESULTS</v>
      </c>
    </row>
    <row r="14" spans="1:93" ht="15" customHeight="1">
      <c r="A14" s="34"/>
      <c r="B14" s="201"/>
      <c r="C14" s="212"/>
      <c r="D14" s="340" t="s">
        <v>9</v>
      </c>
      <c r="E14" s="341"/>
      <c r="F14" s="341"/>
      <c r="G14" s="342"/>
      <c r="H14" s="179">
        <f>SUMPRODUCT(('Predictions &amp; Results'!$H$12:$H$83="GA")*'Predictions &amp; Results'!$T$12:$T$83*(('Predictions &amp; Results'!$I$12:$I$83=$D$14)+('Predictions &amp; Results'!$J$12:$J$83=$D$14)))</f>
        <v>0</v>
      </c>
      <c r="I14" s="179">
        <f>SUMPRODUCT(('Predictions &amp; Results'!$H$12:$H$83="GA")*'Predictions &amp; Results'!$T$12:$T$83*(('Predictions &amp; Results'!$I$12:$I$83=$D$14)*('Predictions &amp; Results'!$R$12:$R$83&gt;'Predictions &amp; Results'!$S$12:$S$83)+('Predictions &amp; Results'!$J$12:$J$83=$D$14)*('Predictions &amp; Results'!$S$12:$S$83&gt;'Predictions &amp; Results'!$R$12:$R$83)))</f>
        <v>0</v>
      </c>
      <c r="J14" s="179">
        <f>SUMPRODUCT(('Predictions &amp; Results'!$H$12:$H$83="GA")*'Predictions &amp; Results'!$T$12:$T$83*(('Predictions &amp; Results'!$I$12:$I$83=$D$14)+('Predictions &amp; Results'!$J$12:$J$83=$D$14))*('Predictions &amp; Results'!$R$12:$R$83='Predictions &amp; Results'!$S$12:$S$83))</f>
        <v>0</v>
      </c>
      <c r="K14" s="179">
        <f>SUMPRODUCT(('Predictions &amp; Results'!$H$12:$H$83="GA")*'Predictions &amp; Results'!$T$12:$T$83*(('Predictions &amp; Results'!$I$12:$I$83=$D$14)*('Predictions &amp; Results'!$R$12:$R$83&lt;'Predictions &amp; Results'!$S$12:$S$83)+('Predictions &amp; Results'!$J$12:$J$83=$D$14)*('Predictions &amp; Results'!$S$12:$S$83&lt;'Predictions &amp; Results'!$R$12:$R$83)))</f>
        <v>0</v>
      </c>
      <c r="L14" s="179">
        <f>SUMPRODUCT(('Predictions &amp; Results'!$H$12:$H$83="GA")*'Predictions &amp; Results'!$T$12:$T$83*(('Predictions &amp; Results'!$I$12:$I$83=$D$14)*'Predictions &amp; Results'!$R$12:$R$83+('Predictions &amp; Results'!$J$12:$J$83=$D$14)*'Predictions &amp; Results'!$S$12:$S$83))</f>
        <v>0</v>
      </c>
      <c r="M14" s="179">
        <f>SUMPRODUCT(('Predictions &amp; Results'!$H$12:$H$83="GA")*'Predictions &amp; Results'!$T$12:$T$83*(('Predictions &amp; Results'!$I$12:$I$83=$D$14)*'Predictions &amp; Results'!$S$12:$S$83+('Predictions &amp; Results'!$J$12:$J$83=$D$14)*'Predictions &amp; Results'!$R$12:$R$83))</f>
        <v>0</v>
      </c>
      <c r="N14" s="179">
        <f>L14-M14</f>
        <v>0</v>
      </c>
      <c r="O14" s="179">
        <f>I14*3+J14</f>
        <v>0</v>
      </c>
      <c r="P14" s="91">
        <f>IF(SUM($H$13:$H$16)=0,0,1+((O13&gt;O14)+(O13=O14)*(N13&gt;N14)+(O13=O14)*(N13=N14)*(L13&gt;L14)+(O13=O14)*(N13=N14)*(L13=L14)*(13&lt;14))+((O15&gt;O14)+(O15=O14)*(N15&gt;N14)+(O15=O14)*(N15=N14)*(L15&gt;L14)+(O15=O14)*(N15=N14)*(L15=L14)*(15&lt;14))+((O16&gt;O14)+(O16=O14)*(N16&gt;N14)+(O16=O14)*(N16=N14)*(L16&gt;L14)+(O16=O14)*(N16=N14)*(L16=L14)*(16&lt;14)))</f>
        <v>0</v>
      </c>
      <c r="Q14" s="340" t="s">
        <v>16</v>
      </c>
      <c r="R14" s="341"/>
      <c r="S14" s="341"/>
      <c r="T14" s="342"/>
      <c r="U14" s="179">
        <f>SUMPRODUCT(('Predictions &amp; Results'!$H$12:$H$83="GB")*'Predictions &amp; Results'!$T$12:$T$83*(('Predictions &amp; Results'!$I$12:$I$83=$Q$14)+('Predictions &amp; Results'!$J$12:$J$83=$Q$14)))</f>
        <v>0</v>
      </c>
      <c r="V14" s="179">
        <f>SUMPRODUCT(('Predictions &amp; Results'!$H$12:$H$83="GB")*'Predictions &amp; Results'!$T$12:$T$83*(('Predictions &amp; Results'!$I$12:$I$83=$Q$14)*('Predictions &amp; Results'!$R$12:$R$83&gt;'Predictions &amp; Results'!$S$12:$S$83)+('Predictions &amp; Results'!$J$12:$J$83=$Q$14)*('Predictions &amp; Results'!$S$12:$S$83&gt;'Predictions &amp; Results'!$R$12:$R$83)))</f>
        <v>0</v>
      </c>
      <c r="W14" s="179">
        <f>SUMPRODUCT(('Predictions &amp; Results'!$H$12:$H$83="GB")*'Predictions &amp; Results'!$T$12:$T$83*(('Predictions &amp; Results'!$I$12:$I$83=$Q$14)+('Predictions &amp; Results'!$J$12:$J$83=$Q$14))*('Predictions &amp; Results'!$R$12:$R$83='Predictions &amp; Results'!$S$12:$S$83))</f>
        <v>0</v>
      </c>
      <c r="X14" s="179">
        <f>SUMPRODUCT(('Predictions &amp; Results'!$H$12:$H$83="GB")*'Predictions &amp; Results'!$T$12:$T$83*(('Predictions &amp; Results'!$I$12:$I$83=$Q$14)*('Predictions &amp; Results'!$R$12:$R$83&lt;'Predictions &amp; Results'!$S$12:$S$83)+('Predictions &amp; Results'!$J$12:$J$83=$Q$14)*('Predictions &amp; Results'!$S$12:$S$83&lt;'Predictions &amp; Results'!$R$12:$R$83)))</f>
        <v>0</v>
      </c>
      <c r="Y14" s="179">
        <f>SUMPRODUCT(('Predictions &amp; Results'!$H$12:$H$83="GB")*'Predictions &amp; Results'!$T$12:$T$83*(('Predictions &amp; Results'!$I$12:$I$83=$Q$14)*'Predictions &amp; Results'!$R$12:$R$83+('Predictions &amp; Results'!$J$12:$J$83=$Q$14)*'Predictions &amp; Results'!$S$12:$S$83))</f>
        <v>0</v>
      </c>
      <c r="Z14" s="179">
        <f>SUMPRODUCT(('Predictions &amp; Results'!$H$12:$H$83="GB")*'Predictions &amp; Results'!$T$12:$T$83*(('Predictions &amp; Results'!$I$12:$I$83=$Q$14)*'Predictions &amp; Results'!$S$12:$S$83+('Predictions &amp; Results'!$J$12:$J$83=$Q$14)*'Predictions &amp; Results'!$R$12:$R$83))</f>
        <v>0</v>
      </c>
      <c r="AA14" s="179">
        <f>Y14-Z14</f>
        <v>0</v>
      </c>
      <c r="AB14" s="179">
        <f>V14*3+W14</f>
        <v>0</v>
      </c>
      <c r="AC14" s="91">
        <f>IF(SUM($U$13:$U$16)=0,0,1+((AB13&gt;AB14)+(AB13=AB14)*(AA13&gt;AA14)+(AB13=AB14)*(AA13=AA14)*(Y13&gt;Y14)+(AB13=AB14)*(AA13=AA14)*(Y13=Y14)*(13&lt;14))+((AB15&gt;AB14)+(AB15=AB14)*(AA15&gt;AA14)+(AB15=AB14)*(AA15=AA14)*(Y15&gt;Y14)+(AB15=AB14)*(AA15=AA14)*(Y15=Y14)*(15&lt;14))+((AB16&gt;AB14)+(AB16=AB14)*(AA16&gt;AA14)+(AB16=AB14)*(AA16=AA14)*(Y16&gt;Y14)+(AB16=AB14)*(AA16=AA14)*(Y16=Y14)*(16&lt;14)))</f>
        <v>0</v>
      </c>
      <c r="AD14" s="340" t="s">
        <v>27</v>
      </c>
      <c r="AE14" s="341"/>
      <c r="AF14" s="341"/>
      <c r="AG14" s="342"/>
      <c r="AH14" s="179">
        <f>SUMPRODUCT(('Predictions &amp; Results'!$H$12:$H$83="GC")*'Predictions &amp; Results'!$T$12:$T$83*(('Predictions &amp; Results'!$I$12:$I$83=$AD$14)+('Predictions &amp; Results'!$J$12:$J$83=$AD$14)))</f>
        <v>0</v>
      </c>
      <c r="AI14" s="179">
        <f>SUMPRODUCT(('Predictions &amp; Results'!$H$12:$H$83="GC")*'Predictions &amp; Results'!$T$12:$T$83*(('Predictions &amp; Results'!$I$12:$I$83=$AD$14)*('Predictions &amp; Results'!$R$12:$R$83&gt;'Predictions &amp; Results'!$S$12:$S$83)+('Predictions &amp; Results'!$J$12:$J$83=$AD$14)*('Predictions &amp; Results'!$S$12:$S$83&gt;'Predictions &amp; Results'!$R$12:$R$83)))</f>
        <v>0</v>
      </c>
      <c r="AJ14" s="179">
        <f>SUMPRODUCT(('Predictions &amp; Results'!$H$12:$H$83="GC")*'Predictions &amp; Results'!$T$12:$T$83*(('Predictions &amp; Results'!$I$12:$I$83=$AD$14)+('Predictions &amp; Results'!$J$12:$J$83=$AD$14))*('Predictions &amp; Results'!$R$12:$R$83='Predictions &amp; Results'!$S$12:$S$83))</f>
        <v>0</v>
      </c>
      <c r="AK14" s="179">
        <f>SUMPRODUCT(('Predictions &amp; Results'!$H$12:$H$83="GC")*'Predictions &amp; Results'!$T$12:$T$83*(('Predictions &amp; Results'!$I$12:$I$83=$AD$14)*('Predictions &amp; Results'!$R$12:$R$83&lt;'Predictions &amp; Results'!$S$12:$S$83)+('Predictions &amp; Results'!$J$12:$J$83=$AD$14)*('Predictions &amp; Results'!$S$12:$S$83&lt;'Predictions &amp; Results'!$R$12:$R$83)))</f>
        <v>0</v>
      </c>
      <c r="AL14" s="179">
        <f>SUMPRODUCT(('Predictions &amp; Results'!$H$12:$H$83="GC")*'Predictions &amp; Results'!$T$12:$T$83*(('Predictions &amp; Results'!$I$12:$I$83=$AD$14)*'Predictions &amp; Results'!$R$12:$R$83+('Predictions &amp; Results'!$J$12:$J$83=$AD$14)*'Predictions &amp; Results'!$S$12:$S$83))</f>
        <v>0</v>
      </c>
      <c r="AM14" s="179">
        <f>SUMPRODUCT(('Predictions &amp; Results'!$H$12:$H$83="GC")*'Predictions &amp; Results'!$T$12:$T$83*(('Predictions &amp; Results'!$I$12:$I$83=$AD$14)*'Predictions &amp; Results'!$S$12:$S$83+('Predictions &amp; Results'!$J$12:$J$83=$AD$14)*'Predictions &amp; Results'!$R$12:$R$83))</f>
        <v>0</v>
      </c>
      <c r="AN14" s="179">
        <f>AL14-AM14</f>
        <v>0</v>
      </c>
      <c r="AO14" s="179">
        <f>AI14*3+AJ14</f>
        <v>0</v>
      </c>
      <c r="AP14" s="221">
        <f>IF(SUM($AH$13:$AH$16)=0,0,1+((AO13&gt;AO14)+(AO13=AO14)*(AN13&gt;AN14)+(AO13=AO14)*(AN13=AN14)*(AL13&gt;AL14)+(AO13=AO14)*(AN13=AN14)*(AL13=AL14)*(13&lt;14))+((AO15&gt;AO14)+(AO15=AO14)*(AN15&gt;AN14)+(AO15=AO14)*(AN15=AN14)*(AL15&gt;AL14)+(AO15=AO14)*(AN15=AN14)*(AL15=AL14)*(15&lt;14))+((AO16&gt;AO14)+(AO16=AO14)*(AN16&gt;AN14)+(AO16=AO14)*(AN16=AN14)*(AL16&gt;AL14)+(AO16=AO14)*(AN16=AN14)*(AL16=AL14)*(16&lt;14)))</f>
        <v>0</v>
      </c>
      <c r="AQ14" s="214" t="str">
        <f>""&amp;VLOOKUP("fx_title",langTable,MATCH(langName,_lang!$A$1:$F$1,0),FALSE())&amp;""</f>
        <v>&gt;&gt;&gt; PREDICTIONS AND RESULTS</v>
      </c>
      <c r="AR14" s="214" t="str">
        <f>""&amp;VLOOKUP("fx_title",langTable,MATCH(langName,_lang!$A$1:$F$1,0),FALSE())&amp;""</f>
        <v>&gt;&gt;&gt; PREDICTIONS AND RESULTS</v>
      </c>
      <c r="AS14" s="214" t="str">
        <f>""&amp;VLOOKUP("fx_title",langTable,MATCH(langName,_lang!$A$1:$F$1,0),FALSE())&amp;""</f>
        <v>&gt;&gt;&gt; PREDICTIONS AND RESULTS</v>
      </c>
      <c r="AT14" s="214" t="str">
        <f>""&amp;VLOOKUP("fx_title",langTable,MATCH(langName,_lang!$A$1:$F$1,0),FALSE())&amp;""</f>
        <v>&gt;&gt;&gt; PREDICTIONS AND RESULTS</v>
      </c>
      <c r="AU14" s="214" t="str">
        <f>""&amp;VLOOKUP("fx_title",langTable,MATCH(langName,_lang!$A$1:$F$1,0),FALSE())&amp;""</f>
        <v>&gt;&gt;&gt; PREDICTIONS AND RESULTS</v>
      </c>
      <c r="AV14" s="214" t="str">
        <f>""&amp;VLOOKUP("fx_title",langTable,MATCH(langName,_lang!$A$1:$F$1,0),FALSE())&amp;""</f>
        <v>&gt;&gt;&gt; PREDICTIONS AND RESULTS</v>
      </c>
      <c r="AW14" s="214" t="str">
        <f>""&amp;VLOOKUP("fx_title",langTable,MATCH(langName,_lang!$A$1:$F$1,0),FALSE())&amp;""</f>
        <v>&gt;&gt;&gt; PREDICTIONS AND RESULTS</v>
      </c>
      <c r="AX14" s="214" t="str">
        <f>""&amp;VLOOKUP("fx_title",langTable,MATCH(langName,_lang!$A$1:$F$1,0),FALSE())&amp;""</f>
        <v>&gt;&gt;&gt; PREDICTIONS AND RESULTS</v>
      </c>
      <c r="AY14" s="214" t="str">
        <f>""&amp;VLOOKUP("fx_title",langTable,MATCH(langName,_lang!$A$1:$F$1,0),FALSE())&amp;""</f>
        <v>&gt;&gt;&gt; PREDICTIONS AND RESULTS</v>
      </c>
      <c r="AZ14" s="214" t="str">
        <f>""&amp;VLOOKUP("fx_title",langTable,MATCH(langName,_lang!$A$1:$F$1,0),FALSE())&amp;""</f>
        <v>&gt;&gt;&gt; PREDICTIONS AND RESULTS</v>
      </c>
      <c r="BA14" s="214" t="str">
        <f>""&amp;VLOOKUP("fx_title",langTable,MATCH(langName,_lang!$A$1:$F$1,0),FALSE())&amp;""</f>
        <v>&gt;&gt;&gt; PREDICTIONS AND RESULTS</v>
      </c>
      <c r="BB14" s="214" t="str">
        <f>""&amp;VLOOKUP("fx_title",langTable,MATCH(langName,_lang!$A$1:$F$1,0),FALSE())&amp;""</f>
        <v>&gt;&gt;&gt; PREDICTIONS AND RESULTS</v>
      </c>
      <c r="BC14" s="214" t="str">
        <f>""&amp;VLOOKUP("fx_title",langTable,MATCH(langName,_lang!$A$1:$F$1,0),FALSE())&amp;""</f>
        <v>&gt;&gt;&gt; PREDICTIONS AND RESULTS</v>
      </c>
      <c r="BD14" s="214" t="str">
        <f>""&amp;VLOOKUP("fx_title",langTable,MATCH(langName,_lang!$A$1:$F$1,0),FALSE())&amp;""</f>
        <v>&gt;&gt;&gt; PREDICTIONS AND RESULTS</v>
      </c>
      <c r="BE14" s="214" t="str">
        <f>""&amp;VLOOKUP("fx_title",langTable,MATCH(langName,_lang!$A$1:$F$1,0),FALSE())&amp;""</f>
        <v>&gt;&gt;&gt; PREDICTIONS AND RESULTS</v>
      </c>
      <c r="BF14" s="214" t="str">
        <f>""&amp;VLOOKUP("fx_title",langTable,MATCH(langName,_lang!$A$1:$F$1,0),FALSE())&amp;""</f>
        <v>&gt;&gt;&gt; PREDICTIONS AND RESULTS</v>
      </c>
      <c r="BG14" s="214" t="str">
        <f>""&amp;VLOOKUP("fx_title",langTable,MATCH(langName,_lang!$A$1:$F$1,0),FALSE())&amp;""</f>
        <v>&gt;&gt;&gt; PREDICTIONS AND RESULTS</v>
      </c>
      <c r="BH14" s="214" t="str">
        <f>""&amp;VLOOKUP("fx_title",langTable,MATCH(langName,_lang!$A$1:$F$1,0),FALSE())&amp;""</f>
        <v>&gt;&gt;&gt; PREDICTIONS AND RESULTS</v>
      </c>
      <c r="BI14" s="214" t="str">
        <f>""&amp;VLOOKUP("fx_title",langTable,MATCH(langName,_lang!$A$1:$F$1,0),FALSE())&amp;""</f>
        <v>&gt;&gt;&gt; PREDICTIONS AND RESULTS</v>
      </c>
      <c r="BJ14" s="214" t="str">
        <f>""&amp;VLOOKUP("fx_title",langTable,MATCH(langName,_lang!$A$1:$F$1,0),FALSE())&amp;""</f>
        <v>&gt;&gt;&gt; PREDICTIONS AND RESULTS</v>
      </c>
      <c r="BK14" s="214" t="str">
        <f>""&amp;VLOOKUP("fx_title",langTable,MATCH(langName,_lang!$A$1:$F$1,0),FALSE())&amp;""</f>
        <v>&gt;&gt;&gt; PREDICTIONS AND RESULTS</v>
      </c>
      <c r="BL14" s="214" t="str">
        <f>""&amp;VLOOKUP("fx_title",langTable,MATCH(langName,_lang!$A$1:$F$1,0),FALSE())&amp;""</f>
        <v>&gt;&gt;&gt; PREDICTIONS AND RESULTS</v>
      </c>
      <c r="BM14" s="214" t="str">
        <f>""&amp;VLOOKUP("fx_title",langTable,MATCH(langName,_lang!$A$1:$F$1,0),FALSE())&amp;""</f>
        <v>&gt;&gt;&gt; PREDICTIONS AND RESULTS</v>
      </c>
      <c r="BN14" s="214" t="str">
        <f>""&amp;VLOOKUP("fx_title",langTable,MATCH(langName,_lang!$A$1:$F$1,0),FALSE())&amp;""</f>
        <v>&gt;&gt;&gt; PREDICTIONS AND RESULTS</v>
      </c>
      <c r="BO14" s="214" t="str">
        <f>""&amp;VLOOKUP("fx_title",langTable,MATCH(langName,_lang!$A$1:$F$1,0),FALSE())&amp;""</f>
        <v>&gt;&gt;&gt; PREDICTIONS AND RESULTS</v>
      </c>
      <c r="BP14" s="214" t="str">
        <f>""&amp;VLOOKUP("fx_title",langTable,MATCH(langName,_lang!$A$1:$F$1,0),FALSE())&amp;""</f>
        <v>&gt;&gt;&gt; PREDICTIONS AND RESULTS</v>
      </c>
      <c r="BQ14" s="214" t="str">
        <f>""&amp;VLOOKUP("fx_title",langTable,MATCH(langName,_lang!$A$1:$F$1,0),FALSE())&amp;""</f>
        <v>&gt;&gt;&gt; PREDICTIONS AND RESULTS</v>
      </c>
      <c r="BR14" s="214" t="str">
        <f>""&amp;VLOOKUP("fx_title",langTable,MATCH(langName,_lang!$A$1:$F$1,0),FALSE())&amp;""</f>
        <v>&gt;&gt;&gt; PREDICTIONS AND RESULTS</v>
      </c>
      <c r="BS14" s="214" t="str">
        <f>""&amp;VLOOKUP("fx_title",langTable,MATCH(langName,_lang!$A$1:$F$1,0),FALSE())&amp;""</f>
        <v>&gt;&gt;&gt; PREDICTIONS AND RESULTS</v>
      </c>
      <c r="BT14" s="214" t="str">
        <f>""&amp;VLOOKUP("fx_title",langTable,MATCH(langName,_lang!$A$1:$F$1,0),FALSE())&amp;""</f>
        <v>&gt;&gt;&gt; PREDICTIONS AND RESULTS</v>
      </c>
      <c r="BU14" s="214" t="str">
        <f>""&amp;VLOOKUP("fx_title",langTable,MATCH(langName,_lang!$A$1:$F$1,0),FALSE())&amp;""</f>
        <v>&gt;&gt;&gt; PREDICTIONS AND RESULTS</v>
      </c>
      <c r="BV14" s="214" t="str">
        <f>""&amp;VLOOKUP("fx_title",langTable,MATCH(langName,_lang!$A$1:$F$1,0),FALSE())&amp;""</f>
        <v>&gt;&gt;&gt; PREDICTIONS AND RESULTS</v>
      </c>
      <c r="BW14" s="214" t="str">
        <f>""&amp;VLOOKUP("fx_title",langTable,MATCH(langName,_lang!$A$1:$F$1,0),FALSE())&amp;""</f>
        <v>&gt;&gt;&gt; PREDICTIONS AND RESULTS</v>
      </c>
      <c r="BX14" s="214" t="str">
        <f>""&amp;VLOOKUP("fx_title",langTable,MATCH(langName,_lang!$A$1:$F$1,0),FALSE())&amp;""</f>
        <v>&gt;&gt;&gt; PREDICTIONS AND RESULTS</v>
      </c>
      <c r="BY14" s="214" t="str">
        <f>""&amp;VLOOKUP("fx_title",langTable,MATCH(langName,_lang!$A$1:$F$1,0),FALSE())&amp;""</f>
        <v>&gt;&gt;&gt; PREDICTIONS AND RESULTS</v>
      </c>
      <c r="BZ14" s="214" t="str">
        <f>""&amp;VLOOKUP("fx_title",langTable,MATCH(langName,_lang!$A$1:$F$1,0),FALSE())&amp;""</f>
        <v>&gt;&gt;&gt; PREDICTIONS AND RESULTS</v>
      </c>
      <c r="CA14" s="214" t="str">
        <f>""&amp;VLOOKUP("fx_title",langTable,MATCH(langName,_lang!$A$1:$F$1,0),FALSE())&amp;""</f>
        <v>&gt;&gt;&gt; PREDICTIONS AND RESULTS</v>
      </c>
      <c r="CB14" s="214" t="str">
        <f>""&amp;VLOOKUP("fx_title",langTable,MATCH(langName,_lang!$A$1:$F$1,0),FALSE())&amp;""</f>
        <v>&gt;&gt;&gt; PREDICTIONS AND RESULTS</v>
      </c>
      <c r="CC14" s="214" t="str">
        <f>""&amp;VLOOKUP("fx_title",langTable,MATCH(langName,_lang!$A$1:$F$1,0),FALSE())&amp;""</f>
        <v>&gt;&gt;&gt; PREDICTIONS AND RESULTS</v>
      </c>
      <c r="CD14" s="214" t="str">
        <f>""&amp;VLOOKUP("fx_title",langTable,MATCH(langName,_lang!$A$1:$F$1,0),FALSE())&amp;""</f>
        <v>&gt;&gt;&gt; PREDICTIONS AND RESULTS</v>
      </c>
      <c r="CE14" s="214" t="str">
        <f>""&amp;VLOOKUP("fx_title",langTable,MATCH(langName,_lang!$A$1:$F$1,0),FALSE())&amp;""</f>
        <v>&gt;&gt;&gt; PREDICTIONS AND RESULTS</v>
      </c>
      <c r="CF14" s="214" t="str">
        <f>""&amp;VLOOKUP("fx_title",langTable,MATCH(langName,_lang!$A$1:$F$1,0),FALSE())&amp;""</f>
        <v>&gt;&gt;&gt; PREDICTIONS AND RESULTS</v>
      </c>
      <c r="CG14" s="214" t="str">
        <f>""&amp;VLOOKUP("fx_title",langTable,MATCH(langName,_lang!$A$1:$F$1,0),FALSE())&amp;""</f>
        <v>&gt;&gt;&gt; PREDICTIONS AND RESULTS</v>
      </c>
      <c r="CH14" s="214" t="str">
        <f>""&amp;VLOOKUP("fx_title",langTable,MATCH(langName,_lang!$A$1:$F$1,0),FALSE())&amp;""</f>
        <v>&gt;&gt;&gt; PREDICTIONS AND RESULTS</v>
      </c>
      <c r="CI14" s="214" t="str">
        <f>""&amp;VLOOKUP("fx_title",langTable,MATCH(langName,_lang!$A$1:$F$1,0),FALSE())&amp;""</f>
        <v>&gt;&gt;&gt; PREDICTIONS AND RESULTS</v>
      </c>
      <c r="CJ14" s="214" t="str">
        <f>""&amp;VLOOKUP("fx_title",langTable,MATCH(langName,_lang!$A$1:$F$1,0),FALSE())&amp;""</f>
        <v>&gt;&gt;&gt; PREDICTIONS AND RESULTS</v>
      </c>
      <c r="CK14" s="214" t="str">
        <f>""&amp;VLOOKUP("fx_title",langTable,MATCH(langName,_lang!$A$1:$F$1,0),FALSE())&amp;""</f>
        <v>&gt;&gt;&gt; PREDICTIONS AND RESULTS</v>
      </c>
      <c r="CL14" s="214" t="str">
        <f>""&amp;VLOOKUP("fx_title",langTable,MATCH(langName,_lang!$A$1:$F$1,0),FALSE())&amp;""</f>
        <v>&gt;&gt;&gt; PREDICTIONS AND RESULTS</v>
      </c>
      <c r="CM14" s="214" t="str">
        <f>""&amp;VLOOKUP("fx_title",langTable,MATCH(langName,_lang!$A$1:$F$1,0),FALSE())&amp;""</f>
        <v>&gt;&gt;&gt; PREDICTIONS AND RESULTS</v>
      </c>
      <c r="CN14" s="214" t="str">
        <f>""&amp;VLOOKUP("fx_title",langTable,MATCH(langName,_lang!$A$1:$F$1,0),FALSE())&amp;""</f>
        <v>&gt;&gt;&gt; PREDICTIONS AND RESULTS</v>
      </c>
      <c r="CO14" s="214" t="str">
        <f>""&amp;VLOOKUP("fx_title",langTable,MATCH(langName,_lang!$A$1:$F$1,0),FALSE())&amp;""</f>
        <v>&gt;&gt;&gt; PREDICTIONS AND RESULTS</v>
      </c>
    </row>
    <row r="15" spans="1:93" ht="15" customHeight="1">
      <c r="A15" s="34"/>
      <c r="B15" s="201"/>
      <c r="C15" s="212"/>
      <c r="D15" s="340" t="s">
        <v>11</v>
      </c>
      <c r="E15" s="341"/>
      <c r="F15" s="341"/>
      <c r="G15" s="342"/>
      <c r="H15" s="179">
        <f>SUMPRODUCT(('Predictions &amp; Results'!$H$12:$H$83="GA")*'Predictions &amp; Results'!$T$12:$T$83*(('Predictions &amp; Results'!$I$12:$I$83=$D$15)+('Predictions &amp; Results'!$J$12:$J$83=$D$15)))</f>
        <v>0</v>
      </c>
      <c r="I15" s="179">
        <f>SUMPRODUCT(('Predictions &amp; Results'!$H$12:$H$83="GA")*'Predictions &amp; Results'!$T$12:$T$83*(('Predictions &amp; Results'!$I$12:$I$83=$D$15)*('Predictions &amp; Results'!$R$12:$R$83&gt;'Predictions &amp; Results'!$S$12:$S$83)+('Predictions &amp; Results'!$J$12:$J$83=$D$15)*('Predictions &amp; Results'!$S$12:$S$83&gt;'Predictions &amp; Results'!$R$12:$R$83)))</f>
        <v>0</v>
      </c>
      <c r="J15" s="179">
        <f>SUMPRODUCT(('Predictions &amp; Results'!$H$12:$H$83="GA")*'Predictions &amp; Results'!$T$12:$T$83*(('Predictions &amp; Results'!$I$12:$I$83=$D$15)+('Predictions &amp; Results'!$J$12:$J$83=$D$15))*('Predictions &amp; Results'!$R$12:$R$83='Predictions &amp; Results'!$S$12:$S$83))</f>
        <v>0</v>
      </c>
      <c r="K15" s="179">
        <f>SUMPRODUCT(('Predictions &amp; Results'!$H$12:$H$83="GA")*'Predictions &amp; Results'!$T$12:$T$83*(('Predictions &amp; Results'!$I$12:$I$83=$D$15)*('Predictions &amp; Results'!$R$12:$R$83&lt;'Predictions &amp; Results'!$S$12:$S$83)+('Predictions &amp; Results'!$J$12:$J$83=$D$15)*('Predictions &amp; Results'!$S$12:$S$83&lt;'Predictions &amp; Results'!$R$12:$R$83)))</f>
        <v>0</v>
      </c>
      <c r="L15" s="179">
        <f>SUMPRODUCT(('Predictions &amp; Results'!$H$12:$H$83="GA")*'Predictions &amp; Results'!$T$12:$T$83*(('Predictions &amp; Results'!$I$12:$I$83=$D$15)*'Predictions &amp; Results'!$R$12:$R$83+('Predictions &amp; Results'!$J$12:$J$83=$D$15)*'Predictions &amp; Results'!$S$12:$S$83))</f>
        <v>0</v>
      </c>
      <c r="M15" s="179">
        <f>SUMPRODUCT(('Predictions &amp; Results'!$H$12:$H$83="GA")*'Predictions &amp; Results'!$T$12:$T$83*(('Predictions &amp; Results'!$I$12:$I$83=$D$15)*'Predictions &amp; Results'!$S$12:$S$83+('Predictions &amp; Results'!$J$12:$J$83=$D$15)*'Predictions &amp; Results'!$R$12:$R$83))</f>
        <v>0</v>
      </c>
      <c r="N15" s="179">
        <f>L15-M15</f>
        <v>0</v>
      </c>
      <c r="O15" s="179">
        <f>I15*3+J15</f>
        <v>0</v>
      </c>
      <c r="P15" s="91">
        <f>IF(SUM($H$13:$H$16)=0,0,1+((O13&gt;O15)+(O13=O15)*(N13&gt;N15)+(O13=O15)*(N13=N15)*(L13&gt;L15)+(O13=O15)*(N13=N15)*(L13=L15)*(13&lt;15))+((O14&gt;O15)+(O14=O15)*(N14&gt;N15)+(O14=O15)*(N14=N15)*(L14&gt;L15)+(O14=O15)*(N14=N15)*(L14=L15)*(14&lt;15))+((O16&gt;O15)+(O16=O15)*(N16&gt;N15)+(O16=O15)*(N16=N15)*(L16&gt;L15)+(O16=O15)*(N16=N15)*(L16=L15)*(16&lt;15)))</f>
        <v>0</v>
      </c>
      <c r="Q15" s="340" t="s">
        <v>22</v>
      </c>
      <c r="R15" s="341"/>
      <c r="S15" s="341"/>
      <c r="T15" s="342"/>
      <c r="U15" s="179">
        <f>SUMPRODUCT(('Predictions &amp; Results'!$H$12:$H$83="GB")*'Predictions &amp; Results'!$T$12:$T$83*(('Predictions &amp; Results'!$I$12:$I$83=$Q$15)+('Predictions &amp; Results'!$J$12:$J$83=$Q$15)))</f>
        <v>0</v>
      </c>
      <c r="V15" s="179">
        <f>SUMPRODUCT(('Predictions &amp; Results'!$H$12:$H$83="GB")*'Predictions &amp; Results'!$T$12:$T$83*(('Predictions &amp; Results'!$I$12:$I$83=$Q$15)*('Predictions &amp; Results'!$R$12:$R$83&gt;'Predictions &amp; Results'!$S$12:$S$83)+('Predictions &amp; Results'!$J$12:$J$83=$Q$15)*('Predictions &amp; Results'!$S$12:$S$83&gt;'Predictions &amp; Results'!$R$12:$R$83)))</f>
        <v>0</v>
      </c>
      <c r="W15" s="179">
        <f>SUMPRODUCT(('Predictions &amp; Results'!$H$12:$H$83="GB")*'Predictions &amp; Results'!$T$12:$T$83*(('Predictions &amp; Results'!$I$12:$I$83=$Q$15)+('Predictions &amp; Results'!$J$12:$J$83=$Q$15))*('Predictions &amp; Results'!$R$12:$R$83='Predictions &amp; Results'!$S$12:$S$83))</f>
        <v>0</v>
      </c>
      <c r="X15" s="179">
        <f>SUMPRODUCT(('Predictions &amp; Results'!$H$12:$H$83="GB")*'Predictions &amp; Results'!$T$12:$T$83*(('Predictions &amp; Results'!$I$12:$I$83=$Q$15)*('Predictions &amp; Results'!$R$12:$R$83&lt;'Predictions &amp; Results'!$S$12:$S$83)+('Predictions &amp; Results'!$J$12:$J$83=$Q$15)*('Predictions &amp; Results'!$S$12:$S$83&lt;'Predictions &amp; Results'!$R$12:$R$83)))</f>
        <v>0</v>
      </c>
      <c r="Y15" s="179">
        <f>SUMPRODUCT(('Predictions &amp; Results'!$H$12:$H$83="GB")*'Predictions &amp; Results'!$T$12:$T$83*(('Predictions &amp; Results'!$I$12:$I$83=$Q$15)*'Predictions &amp; Results'!$R$12:$R$83+('Predictions &amp; Results'!$J$12:$J$83=$Q$15)*'Predictions &amp; Results'!$S$12:$S$83))</f>
        <v>0</v>
      </c>
      <c r="Z15" s="179">
        <f>SUMPRODUCT(('Predictions &amp; Results'!$H$12:$H$83="GB")*'Predictions &amp; Results'!$T$12:$T$83*(('Predictions &amp; Results'!$I$12:$I$83=$Q$15)*'Predictions &amp; Results'!$S$12:$S$83+('Predictions &amp; Results'!$J$12:$J$83=$Q$15)*'Predictions &amp; Results'!$R$12:$R$83))</f>
        <v>0</v>
      </c>
      <c r="AA15" s="179">
        <f>Y15-Z15</f>
        <v>0</v>
      </c>
      <c r="AB15" s="179">
        <f>V15*3+W15</f>
        <v>0</v>
      </c>
      <c r="AC15" s="91">
        <f>IF(SUM($U$13:$U$16)=0,0,1+((AB13&gt;AB15)+(AB13=AB15)*(AA13&gt;AA15)+(AB13=AB15)*(AA13=AA15)*(Y13&gt;Y15)+(AB13=AB15)*(AA13=AA15)*(Y13=Y15)*(13&lt;15))+((AB14&gt;AB15)+(AB14=AB15)*(AA14&gt;AA15)+(AB14=AB15)*(AA14=AA15)*(Y14&gt;Y15)+(AB14=AB15)*(AA14=AA15)*(Y14=Y15)*(14&lt;15))+((AB16&gt;AB15)+(AB16=AB15)*(AA16&gt;AA15)+(AB16=AB15)*(AA16=AA15)*(Y16&gt;Y15)+(AB16=AB15)*(AA16=AA15)*(Y16=Y15)*(16&lt;15)))</f>
        <v>0</v>
      </c>
      <c r="AD15" s="340" t="s">
        <v>29</v>
      </c>
      <c r="AE15" s="341"/>
      <c r="AF15" s="341"/>
      <c r="AG15" s="342"/>
      <c r="AH15" s="179">
        <f>SUMPRODUCT(('Predictions &amp; Results'!$H$12:$H$83="GC")*'Predictions &amp; Results'!$T$12:$T$83*(('Predictions &amp; Results'!$I$12:$I$83=$AD$15)+('Predictions &amp; Results'!$J$12:$J$83=$AD$15)))</f>
        <v>0</v>
      </c>
      <c r="AI15" s="179">
        <f>SUMPRODUCT(('Predictions &amp; Results'!$H$12:$H$83="GC")*'Predictions &amp; Results'!$T$12:$T$83*(('Predictions &amp; Results'!$I$12:$I$83=$AD$15)*('Predictions &amp; Results'!$R$12:$R$83&gt;'Predictions &amp; Results'!$S$12:$S$83)+('Predictions &amp; Results'!$J$12:$J$83=$AD$15)*('Predictions &amp; Results'!$S$12:$S$83&gt;'Predictions &amp; Results'!$R$12:$R$83)))</f>
        <v>0</v>
      </c>
      <c r="AJ15" s="179">
        <f>SUMPRODUCT(('Predictions &amp; Results'!$H$12:$H$83="GC")*'Predictions &amp; Results'!$T$12:$T$83*(('Predictions &amp; Results'!$I$12:$I$83=$AD$15)+('Predictions &amp; Results'!$J$12:$J$83=$AD$15))*('Predictions &amp; Results'!$R$12:$R$83='Predictions &amp; Results'!$S$12:$S$83))</f>
        <v>0</v>
      </c>
      <c r="AK15" s="179">
        <f>SUMPRODUCT(('Predictions &amp; Results'!$H$12:$H$83="GC")*'Predictions &amp; Results'!$T$12:$T$83*(('Predictions &amp; Results'!$I$12:$I$83=$AD$15)*('Predictions &amp; Results'!$R$12:$R$83&lt;'Predictions &amp; Results'!$S$12:$S$83)+('Predictions &amp; Results'!$J$12:$J$83=$AD$15)*('Predictions &amp; Results'!$S$12:$S$83&lt;'Predictions &amp; Results'!$R$12:$R$83)))</f>
        <v>0</v>
      </c>
      <c r="AL15" s="179">
        <f>SUMPRODUCT(('Predictions &amp; Results'!$H$12:$H$83="GC")*'Predictions &amp; Results'!$T$12:$T$83*(('Predictions &amp; Results'!$I$12:$I$83=$AD$15)*'Predictions &amp; Results'!$R$12:$R$83+('Predictions &amp; Results'!$J$12:$J$83=$AD$15)*'Predictions &amp; Results'!$S$12:$S$83))</f>
        <v>0</v>
      </c>
      <c r="AM15" s="179">
        <f>SUMPRODUCT(('Predictions &amp; Results'!$H$12:$H$83="GC")*'Predictions &amp; Results'!$T$12:$T$83*(('Predictions &amp; Results'!$I$12:$I$83=$AD$15)*'Predictions &amp; Results'!$S$12:$S$83+('Predictions &amp; Results'!$J$12:$J$83=$AD$15)*'Predictions &amp; Results'!$R$12:$R$83))</f>
        <v>0</v>
      </c>
      <c r="AN15" s="179">
        <f>AL15-AM15</f>
        <v>0</v>
      </c>
      <c r="AO15" s="179">
        <f>AI15*3+AJ15</f>
        <v>0</v>
      </c>
      <c r="AP15" s="221">
        <f>IF(SUM($AH$13:$AH$16)=0,0,1+((AO13&gt;AO15)+(AO13=AO15)*(AN13&gt;AN15)+(AO13=AO15)*(AN13=AN15)*(AL13&gt;AL15)+(AO13=AO15)*(AN13=AN15)*(AL13=AL15)*(13&lt;15))+((AO14&gt;AO15)+(AO14=AO15)*(AN14&gt;AN15)+(AO14=AO15)*(AN14=AN15)*(AL14&gt;AL15)+(AO14=AO15)*(AN14=AN15)*(AL14=AL15)*(14&lt;15))+((AO16&gt;AO15)+(AO16=AO15)*(AN16&gt;AN15)+(AO16=AO15)*(AN16=AN15)*(AL16&gt;AL15)+(AO16=AO15)*(AN16=AN15)*(AL16=AL15)*(16&lt;15)))</f>
        <v>0</v>
      </c>
      <c r="AQ15" s="214" t="str">
        <f>""&amp;VLOOKUP("fx_title",langTable,MATCH(langName,_lang!$A$1:$F$1,0),FALSE())&amp;""</f>
        <v>&gt;&gt;&gt; PREDICTIONS AND RESULTS</v>
      </c>
      <c r="AR15" s="214" t="str">
        <f>""&amp;VLOOKUP("fx_title",langTable,MATCH(langName,_lang!$A$1:$F$1,0),FALSE())&amp;""</f>
        <v>&gt;&gt;&gt; PREDICTIONS AND RESULTS</v>
      </c>
      <c r="AS15" s="214" t="str">
        <f>""&amp;VLOOKUP("fx_title",langTable,MATCH(langName,_lang!$A$1:$F$1,0),FALSE())&amp;""</f>
        <v>&gt;&gt;&gt; PREDICTIONS AND RESULTS</v>
      </c>
      <c r="AT15" s="214" t="str">
        <f>""&amp;VLOOKUP("fx_title",langTable,MATCH(langName,_lang!$A$1:$F$1,0),FALSE())&amp;""</f>
        <v>&gt;&gt;&gt; PREDICTIONS AND RESULTS</v>
      </c>
      <c r="AU15" s="214" t="str">
        <f>""&amp;VLOOKUP("fx_title",langTable,MATCH(langName,_lang!$A$1:$F$1,0),FALSE())&amp;""</f>
        <v>&gt;&gt;&gt; PREDICTIONS AND RESULTS</v>
      </c>
      <c r="AV15" s="214" t="str">
        <f>""&amp;VLOOKUP("fx_title",langTable,MATCH(langName,_lang!$A$1:$F$1,0),FALSE())&amp;""</f>
        <v>&gt;&gt;&gt; PREDICTIONS AND RESULTS</v>
      </c>
      <c r="AW15" s="214" t="str">
        <f>""&amp;VLOOKUP("fx_title",langTable,MATCH(langName,_lang!$A$1:$F$1,0),FALSE())&amp;""</f>
        <v>&gt;&gt;&gt; PREDICTIONS AND RESULTS</v>
      </c>
      <c r="AX15" s="214" t="str">
        <f>""&amp;VLOOKUP("fx_title",langTable,MATCH(langName,_lang!$A$1:$F$1,0),FALSE())&amp;""</f>
        <v>&gt;&gt;&gt; PREDICTIONS AND RESULTS</v>
      </c>
      <c r="AY15" s="214" t="str">
        <f>""&amp;VLOOKUP("fx_title",langTable,MATCH(langName,_lang!$A$1:$F$1,0),FALSE())&amp;""</f>
        <v>&gt;&gt;&gt; PREDICTIONS AND RESULTS</v>
      </c>
      <c r="AZ15" s="214" t="str">
        <f>""&amp;VLOOKUP("fx_title",langTable,MATCH(langName,_lang!$A$1:$F$1,0),FALSE())&amp;""</f>
        <v>&gt;&gt;&gt; PREDICTIONS AND RESULTS</v>
      </c>
      <c r="BA15" s="214" t="str">
        <f>""&amp;VLOOKUP("fx_title",langTable,MATCH(langName,_lang!$A$1:$F$1,0),FALSE())&amp;""</f>
        <v>&gt;&gt;&gt; PREDICTIONS AND RESULTS</v>
      </c>
      <c r="BB15" s="214" t="str">
        <f>""&amp;VLOOKUP("fx_title",langTable,MATCH(langName,_lang!$A$1:$F$1,0),FALSE())&amp;""</f>
        <v>&gt;&gt;&gt; PREDICTIONS AND RESULTS</v>
      </c>
      <c r="BC15" s="214" t="str">
        <f>""&amp;VLOOKUP("fx_title",langTable,MATCH(langName,_lang!$A$1:$F$1,0),FALSE())&amp;""</f>
        <v>&gt;&gt;&gt; PREDICTIONS AND RESULTS</v>
      </c>
      <c r="BD15" s="214" t="str">
        <f>""&amp;VLOOKUP("fx_title",langTable,MATCH(langName,_lang!$A$1:$F$1,0),FALSE())&amp;""</f>
        <v>&gt;&gt;&gt; PREDICTIONS AND RESULTS</v>
      </c>
      <c r="BE15" s="214" t="str">
        <f>""&amp;VLOOKUP("fx_title",langTable,MATCH(langName,_lang!$A$1:$F$1,0),FALSE())&amp;""</f>
        <v>&gt;&gt;&gt; PREDICTIONS AND RESULTS</v>
      </c>
      <c r="BF15" s="214" t="str">
        <f>""&amp;VLOOKUP("fx_title",langTable,MATCH(langName,_lang!$A$1:$F$1,0),FALSE())&amp;""</f>
        <v>&gt;&gt;&gt; PREDICTIONS AND RESULTS</v>
      </c>
      <c r="BG15" s="214" t="str">
        <f>""&amp;VLOOKUP("fx_title",langTable,MATCH(langName,_lang!$A$1:$F$1,0),FALSE())&amp;""</f>
        <v>&gt;&gt;&gt; PREDICTIONS AND RESULTS</v>
      </c>
      <c r="BH15" s="214" t="str">
        <f>""&amp;VLOOKUP("fx_title",langTable,MATCH(langName,_lang!$A$1:$F$1,0),FALSE())&amp;""</f>
        <v>&gt;&gt;&gt; PREDICTIONS AND RESULTS</v>
      </c>
      <c r="BI15" s="214" t="str">
        <f>""&amp;VLOOKUP("fx_title",langTable,MATCH(langName,_lang!$A$1:$F$1,0),FALSE())&amp;""</f>
        <v>&gt;&gt;&gt; PREDICTIONS AND RESULTS</v>
      </c>
      <c r="BJ15" s="214" t="str">
        <f>""&amp;VLOOKUP("fx_title",langTable,MATCH(langName,_lang!$A$1:$F$1,0),FALSE())&amp;""</f>
        <v>&gt;&gt;&gt; PREDICTIONS AND RESULTS</v>
      </c>
      <c r="BK15" s="214" t="str">
        <f>""&amp;VLOOKUP("fx_title",langTable,MATCH(langName,_lang!$A$1:$F$1,0),FALSE())&amp;""</f>
        <v>&gt;&gt;&gt; PREDICTIONS AND RESULTS</v>
      </c>
      <c r="BL15" s="214" t="str">
        <f>""&amp;VLOOKUP("fx_title",langTable,MATCH(langName,_lang!$A$1:$F$1,0),FALSE())&amp;""</f>
        <v>&gt;&gt;&gt; PREDICTIONS AND RESULTS</v>
      </c>
      <c r="BM15" s="214" t="str">
        <f>""&amp;VLOOKUP("fx_title",langTable,MATCH(langName,_lang!$A$1:$F$1,0),FALSE())&amp;""</f>
        <v>&gt;&gt;&gt; PREDICTIONS AND RESULTS</v>
      </c>
      <c r="BN15" s="214" t="str">
        <f>""&amp;VLOOKUP("fx_title",langTable,MATCH(langName,_lang!$A$1:$F$1,0),FALSE())&amp;""</f>
        <v>&gt;&gt;&gt; PREDICTIONS AND RESULTS</v>
      </c>
      <c r="BO15" s="214" t="str">
        <f>""&amp;VLOOKUP("fx_title",langTable,MATCH(langName,_lang!$A$1:$F$1,0),FALSE())&amp;""</f>
        <v>&gt;&gt;&gt; PREDICTIONS AND RESULTS</v>
      </c>
      <c r="BP15" s="214" t="str">
        <f>""&amp;VLOOKUP("fx_title",langTable,MATCH(langName,_lang!$A$1:$F$1,0),FALSE())&amp;""</f>
        <v>&gt;&gt;&gt; PREDICTIONS AND RESULTS</v>
      </c>
      <c r="BQ15" s="214" t="str">
        <f>""&amp;VLOOKUP("fx_title",langTable,MATCH(langName,_lang!$A$1:$F$1,0),FALSE())&amp;""</f>
        <v>&gt;&gt;&gt; PREDICTIONS AND RESULTS</v>
      </c>
      <c r="BR15" s="214" t="str">
        <f>""&amp;VLOOKUP("fx_title",langTable,MATCH(langName,_lang!$A$1:$F$1,0),FALSE())&amp;""</f>
        <v>&gt;&gt;&gt; PREDICTIONS AND RESULTS</v>
      </c>
      <c r="BS15" s="214" t="str">
        <f>""&amp;VLOOKUP("fx_title",langTable,MATCH(langName,_lang!$A$1:$F$1,0),FALSE())&amp;""</f>
        <v>&gt;&gt;&gt; PREDICTIONS AND RESULTS</v>
      </c>
      <c r="BT15" s="214" t="str">
        <f>""&amp;VLOOKUP("fx_title",langTable,MATCH(langName,_lang!$A$1:$F$1,0),FALSE())&amp;""</f>
        <v>&gt;&gt;&gt; PREDICTIONS AND RESULTS</v>
      </c>
      <c r="BU15" s="214" t="str">
        <f>""&amp;VLOOKUP("fx_title",langTable,MATCH(langName,_lang!$A$1:$F$1,0),FALSE())&amp;""</f>
        <v>&gt;&gt;&gt; PREDICTIONS AND RESULTS</v>
      </c>
      <c r="BV15" s="214" t="str">
        <f>""&amp;VLOOKUP("fx_title",langTable,MATCH(langName,_lang!$A$1:$F$1,0),FALSE())&amp;""</f>
        <v>&gt;&gt;&gt; PREDICTIONS AND RESULTS</v>
      </c>
      <c r="BW15" s="214" t="str">
        <f>""&amp;VLOOKUP("fx_title",langTable,MATCH(langName,_lang!$A$1:$F$1,0),FALSE())&amp;""</f>
        <v>&gt;&gt;&gt; PREDICTIONS AND RESULTS</v>
      </c>
      <c r="BX15" s="214" t="str">
        <f>""&amp;VLOOKUP("fx_title",langTable,MATCH(langName,_lang!$A$1:$F$1,0),FALSE())&amp;""</f>
        <v>&gt;&gt;&gt; PREDICTIONS AND RESULTS</v>
      </c>
      <c r="BY15" s="214" t="str">
        <f>""&amp;VLOOKUP("fx_title",langTable,MATCH(langName,_lang!$A$1:$F$1,0),FALSE())&amp;""</f>
        <v>&gt;&gt;&gt; PREDICTIONS AND RESULTS</v>
      </c>
      <c r="BZ15" s="214" t="str">
        <f>""&amp;VLOOKUP("fx_title",langTable,MATCH(langName,_lang!$A$1:$F$1,0),FALSE())&amp;""</f>
        <v>&gt;&gt;&gt; PREDICTIONS AND RESULTS</v>
      </c>
      <c r="CA15" s="214" t="str">
        <f>""&amp;VLOOKUP("fx_title",langTable,MATCH(langName,_lang!$A$1:$F$1,0),FALSE())&amp;""</f>
        <v>&gt;&gt;&gt; PREDICTIONS AND RESULTS</v>
      </c>
      <c r="CB15" s="214" t="str">
        <f>""&amp;VLOOKUP("fx_title",langTable,MATCH(langName,_lang!$A$1:$F$1,0),FALSE())&amp;""</f>
        <v>&gt;&gt;&gt; PREDICTIONS AND RESULTS</v>
      </c>
      <c r="CC15" s="214" t="str">
        <f>""&amp;VLOOKUP("fx_title",langTable,MATCH(langName,_lang!$A$1:$F$1,0),FALSE())&amp;""</f>
        <v>&gt;&gt;&gt; PREDICTIONS AND RESULTS</v>
      </c>
      <c r="CD15" s="214" t="str">
        <f>""&amp;VLOOKUP("fx_title",langTable,MATCH(langName,_lang!$A$1:$F$1,0),FALSE())&amp;""</f>
        <v>&gt;&gt;&gt; PREDICTIONS AND RESULTS</v>
      </c>
      <c r="CE15" s="214" t="str">
        <f>""&amp;VLOOKUP("fx_title",langTable,MATCH(langName,_lang!$A$1:$F$1,0),FALSE())&amp;""</f>
        <v>&gt;&gt;&gt; PREDICTIONS AND RESULTS</v>
      </c>
      <c r="CF15" s="214" t="str">
        <f>""&amp;VLOOKUP("fx_title",langTable,MATCH(langName,_lang!$A$1:$F$1,0),FALSE())&amp;""</f>
        <v>&gt;&gt;&gt; PREDICTIONS AND RESULTS</v>
      </c>
      <c r="CG15" s="214" t="str">
        <f>""&amp;VLOOKUP("fx_title",langTable,MATCH(langName,_lang!$A$1:$F$1,0),FALSE())&amp;""</f>
        <v>&gt;&gt;&gt; PREDICTIONS AND RESULTS</v>
      </c>
      <c r="CH15" s="214" t="str">
        <f>""&amp;VLOOKUP("fx_title",langTable,MATCH(langName,_lang!$A$1:$F$1,0),FALSE())&amp;""</f>
        <v>&gt;&gt;&gt; PREDICTIONS AND RESULTS</v>
      </c>
      <c r="CI15" s="214" t="str">
        <f>""&amp;VLOOKUP("fx_title",langTable,MATCH(langName,_lang!$A$1:$F$1,0),FALSE())&amp;""</f>
        <v>&gt;&gt;&gt; PREDICTIONS AND RESULTS</v>
      </c>
      <c r="CJ15" s="214" t="str">
        <f>""&amp;VLOOKUP("fx_title",langTable,MATCH(langName,_lang!$A$1:$F$1,0),FALSE())&amp;""</f>
        <v>&gt;&gt;&gt; PREDICTIONS AND RESULTS</v>
      </c>
      <c r="CK15" s="214" t="str">
        <f>""&amp;VLOOKUP("fx_title",langTable,MATCH(langName,_lang!$A$1:$F$1,0),FALSE())&amp;""</f>
        <v>&gt;&gt;&gt; PREDICTIONS AND RESULTS</v>
      </c>
      <c r="CL15" s="214" t="str">
        <f>""&amp;VLOOKUP("fx_title",langTable,MATCH(langName,_lang!$A$1:$F$1,0),FALSE())&amp;""</f>
        <v>&gt;&gt;&gt; PREDICTIONS AND RESULTS</v>
      </c>
      <c r="CM15" s="214" t="str">
        <f>""&amp;VLOOKUP("fx_title",langTable,MATCH(langName,_lang!$A$1:$F$1,0),FALSE())&amp;""</f>
        <v>&gt;&gt;&gt; PREDICTIONS AND RESULTS</v>
      </c>
      <c r="CN15" s="214" t="str">
        <f>""&amp;VLOOKUP("fx_title",langTable,MATCH(langName,_lang!$A$1:$F$1,0),FALSE())&amp;""</f>
        <v>&gt;&gt;&gt; PREDICTIONS AND RESULTS</v>
      </c>
      <c r="CO15" s="214" t="str">
        <f>""&amp;VLOOKUP("fx_title",langTable,MATCH(langName,_lang!$A$1:$F$1,0),FALSE())&amp;""</f>
        <v>&gt;&gt;&gt; PREDICTIONS AND RESULTS</v>
      </c>
    </row>
    <row r="16" spans="1:93" ht="15" customHeight="1">
      <c r="A16" s="34"/>
      <c r="B16" s="201"/>
      <c r="C16" s="212"/>
      <c r="D16" s="340" t="s">
        <v>12</v>
      </c>
      <c r="E16" s="341"/>
      <c r="F16" s="341"/>
      <c r="G16" s="342"/>
      <c r="H16" s="179">
        <f>SUMPRODUCT(('Predictions &amp; Results'!$H$12:$H$83="GA")*'Predictions &amp; Results'!$T$12:$T$83*(('Predictions &amp; Results'!$I$12:$I$83=$D$16)+('Predictions &amp; Results'!$J$12:$J$83=$D$16)))</f>
        <v>0</v>
      </c>
      <c r="I16" s="179">
        <f>SUMPRODUCT(('Predictions &amp; Results'!$H$12:$H$83="GA")*'Predictions &amp; Results'!$T$12:$T$83*(('Predictions &amp; Results'!$I$12:$I$83=$D$16)*('Predictions &amp; Results'!$R$12:$R$83&gt;'Predictions &amp; Results'!$S$12:$S$83)+('Predictions &amp; Results'!$J$12:$J$83=$D$16)*('Predictions &amp; Results'!$S$12:$S$83&gt;'Predictions &amp; Results'!$R$12:$R$83)))</f>
        <v>0</v>
      </c>
      <c r="J16" s="179">
        <f>SUMPRODUCT(('Predictions &amp; Results'!$H$12:$H$83="GA")*'Predictions &amp; Results'!$T$12:$T$83*(('Predictions &amp; Results'!$I$12:$I$83=$D$16)+('Predictions &amp; Results'!$J$12:$J$83=$D$16))*('Predictions &amp; Results'!$R$12:$R$83='Predictions &amp; Results'!$S$12:$S$83))</f>
        <v>0</v>
      </c>
      <c r="K16" s="179">
        <f>SUMPRODUCT(('Predictions &amp; Results'!$H$12:$H$83="GA")*'Predictions &amp; Results'!$T$12:$T$83*(('Predictions &amp; Results'!$I$12:$I$83=$D$16)*('Predictions &amp; Results'!$R$12:$R$83&lt;'Predictions &amp; Results'!$S$12:$S$83)+('Predictions &amp; Results'!$J$12:$J$83=$D$16)*('Predictions &amp; Results'!$S$12:$S$83&lt;'Predictions &amp; Results'!$R$12:$R$83)))</f>
        <v>0</v>
      </c>
      <c r="L16" s="179">
        <f>SUMPRODUCT(('Predictions &amp; Results'!$H$12:$H$83="GA")*'Predictions &amp; Results'!$T$12:$T$83*(('Predictions &amp; Results'!$I$12:$I$83=$D$16)*'Predictions &amp; Results'!$R$12:$R$83+('Predictions &amp; Results'!$J$12:$J$83=$D$16)*'Predictions &amp; Results'!$S$12:$S$83))</f>
        <v>0</v>
      </c>
      <c r="M16" s="179">
        <f>SUMPRODUCT(('Predictions &amp; Results'!$H$12:$H$83="GA")*'Predictions &amp; Results'!$T$12:$T$83*(('Predictions &amp; Results'!$I$12:$I$83=$D$16)*'Predictions &amp; Results'!$S$12:$S$83+('Predictions &amp; Results'!$J$12:$J$83=$D$16)*'Predictions &amp; Results'!$R$12:$R$83))</f>
        <v>0</v>
      </c>
      <c r="N16" s="179">
        <f>L16-M16</f>
        <v>0</v>
      </c>
      <c r="O16" s="179">
        <f>I16*3+J16</f>
        <v>0</v>
      </c>
      <c r="P16" s="91">
        <f>IF(SUM($H$13:$H$16)=0,0,1+((O13&gt;O16)+(O13=O16)*(N13&gt;N16)+(O13=O16)*(N13=N16)*(L13&gt;L16)+(O13=O16)*(N13=N16)*(L13=L16)*(13&lt;16))+((O14&gt;O16)+(O14=O16)*(N14&gt;N16)+(O14=O16)*(N14=N16)*(L14&gt;L16)+(O14=O16)*(N14=N16)*(L14=L16)*(14&lt;16))+((O15&gt;O16)+(O15=O16)*(N15&gt;N16)+(O15=O16)*(N15=N16)*(L15&gt;L16)+(O15=O16)*(N15=N16)*(L15=L16)*(15&lt;16)))</f>
        <v>0</v>
      </c>
      <c r="Q16" s="340" t="s">
        <v>23</v>
      </c>
      <c r="R16" s="341"/>
      <c r="S16" s="341"/>
      <c r="T16" s="342"/>
      <c r="U16" s="179">
        <f>SUMPRODUCT(('Predictions &amp; Results'!$H$12:$H$83="GB")*'Predictions &amp; Results'!$T$12:$T$83*(('Predictions &amp; Results'!$I$12:$I$83=$Q$16)+('Predictions &amp; Results'!$J$12:$J$83=$Q$16)))</f>
        <v>0</v>
      </c>
      <c r="V16" s="179">
        <f>SUMPRODUCT(('Predictions &amp; Results'!$H$12:$H$83="GB")*'Predictions &amp; Results'!$T$12:$T$83*(('Predictions &amp; Results'!$I$12:$I$83=$Q$16)*('Predictions &amp; Results'!$R$12:$R$83&gt;'Predictions &amp; Results'!$S$12:$S$83)+('Predictions &amp; Results'!$J$12:$J$83=$Q$16)*('Predictions &amp; Results'!$S$12:$S$83&gt;'Predictions &amp; Results'!$R$12:$R$83)))</f>
        <v>0</v>
      </c>
      <c r="W16" s="179">
        <f>SUMPRODUCT(('Predictions &amp; Results'!$H$12:$H$83="GB")*'Predictions &amp; Results'!$T$12:$T$83*(('Predictions &amp; Results'!$I$12:$I$83=$Q$16)+('Predictions &amp; Results'!$J$12:$J$83=$Q$16))*('Predictions &amp; Results'!$R$12:$R$83='Predictions &amp; Results'!$S$12:$S$83))</f>
        <v>0</v>
      </c>
      <c r="X16" s="179">
        <f>SUMPRODUCT(('Predictions &amp; Results'!$H$12:$H$83="GB")*'Predictions &amp; Results'!$T$12:$T$83*(('Predictions &amp; Results'!$I$12:$I$83=$Q$16)*('Predictions &amp; Results'!$R$12:$R$83&lt;'Predictions &amp; Results'!$S$12:$S$83)+('Predictions &amp; Results'!$J$12:$J$83=$Q$16)*('Predictions &amp; Results'!$S$12:$S$83&lt;'Predictions &amp; Results'!$R$12:$R$83)))</f>
        <v>0</v>
      </c>
      <c r="Y16" s="179">
        <f>SUMPRODUCT(('Predictions &amp; Results'!$H$12:$H$83="GB")*'Predictions &amp; Results'!$T$12:$T$83*(('Predictions &amp; Results'!$I$12:$I$83=$Q$16)*'Predictions &amp; Results'!$R$12:$R$83+('Predictions &amp; Results'!$J$12:$J$83=$Q$16)*'Predictions &amp; Results'!$S$12:$S$83))</f>
        <v>0</v>
      </c>
      <c r="Z16" s="179">
        <f>SUMPRODUCT(('Predictions &amp; Results'!$H$12:$H$83="GB")*'Predictions &amp; Results'!$T$12:$T$83*(('Predictions &amp; Results'!$I$12:$I$83=$Q$16)*'Predictions &amp; Results'!$S$12:$S$83+('Predictions &amp; Results'!$J$12:$J$83=$Q$16)*'Predictions &amp; Results'!$R$12:$R$83))</f>
        <v>0</v>
      </c>
      <c r="AA16" s="179">
        <f>Y16-Z16</f>
        <v>0</v>
      </c>
      <c r="AB16" s="179">
        <f>V16*3+W16</f>
        <v>0</v>
      </c>
      <c r="AC16" s="91">
        <f>IF(SUM($U$13:$U$16)=0,0,1+((AB13&gt;AB16)+(AB13=AB16)*(AA13&gt;AA16)+(AB13=AB16)*(AA13=AA16)*(Y13&gt;Y16)+(AB13=AB16)*(AA13=AA16)*(Y13=Y16)*(13&lt;16))+((AB14&gt;AB16)+(AB14=AB16)*(AA14&gt;AA16)+(AB14=AB16)*(AA14=AA16)*(Y14&gt;Y16)+(AB14=AB16)*(AA14=AA16)*(Y14=Y16)*(14&lt;16))+((AB15&gt;AB16)+(AB15=AB16)*(AA15&gt;AA16)+(AB15=AB16)*(AA15=AA16)*(Y15&gt;Y16)+(AB15=AB16)*(AA15=AA16)*(Y15=Y16)*(15&lt;16)))</f>
        <v>0</v>
      </c>
      <c r="AD16" s="340" t="s">
        <v>30</v>
      </c>
      <c r="AE16" s="341"/>
      <c r="AF16" s="341"/>
      <c r="AG16" s="342"/>
      <c r="AH16" s="179">
        <f>SUMPRODUCT(('Predictions &amp; Results'!$H$12:$H$83="GC")*'Predictions &amp; Results'!$T$12:$T$83*(('Predictions &amp; Results'!$I$12:$I$83=$AD$16)+('Predictions &amp; Results'!$J$12:$J$83=$AD$16)))</f>
        <v>0</v>
      </c>
      <c r="AI16" s="179">
        <f>SUMPRODUCT(('Predictions &amp; Results'!$H$12:$H$83="GC")*'Predictions &amp; Results'!$T$12:$T$83*(('Predictions &amp; Results'!$I$12:$I$83=$AD$16)*('Predictions &amp; Results'!$R$12:$R$83&gt;'Predictions &amp; Results'!$S$12:$S$83)+('Predictions &amp; Results'!$J$12:$J$83=$AD$16)*('Predictions &amp; Results'!$S$12:$S$83&gt;'Predictions &amp; Results'!$R$12:$R$83)))</f>
        <v>0</v>
      </c>
      <c r="AJ16" s="179">
        <f>SUMPRODUCT(('Predictions &amp; Results'!$H$12:$H$83="GC")*'Predictions &amp; Results'!$T$12:$T$83*(('Predictions &amp; Results'!$I$12:$I$83=$AD$16)+('Predictions &amp; Results'!$J$12:$J$83=$AD$16))*('Predictions &amp; Results'!$R$12:$R$83='Predictions &amp; Results'!$S$12:$S$83))</f>
        <v>0</v>
      </c>
      <c r="AK16" s="179">
        <f>SUMPRODUCT(('Predictions &amp; Results'!$H$12:$H$83="GC")*'Predictions &amp; Results'!$T$12:$T$83*(('Predictions &amp; Results'!$I$12:$I$83=$AD$16)*('Predictions &amp; Results'!$R$12:$R$83&lt;'Predictions &amp; Results'!$S$12:$S$83)+('Predictions &amp; Results'!$J$12:$J$83=$AD$16)*('Predictions &amp; Results'!$S$12:$S$83&lt;'Predictions &amp; Results'!$R$12:$R$83)))</f>
        <v>0</v>
      </c>
      <c r="AL16" s="179">
        <f>SUMPRODUCT(('Predictions &amp; Results'!$H$12:$H$83="GC")*'Predictions &amp; Results'!$T$12:$T$83*(('Predictions &amp; Results'!$I$12:$I$83=$AD$16)*'Predictions &amp; Results'!$R$12:$R$83+('Predictions &amp; Results'!$J$12:$J$83=$AD$16)*'Predictions &amp; Results'!$S$12:$S$83))</f>
        <v>0</v>
      </c>
      <c r="AM16" s="179">
        <f>SUMPRODUCT(('Predictions &amp; Results'!$H$12:$H$83="GC")*'Predictions &amp; Results'!$T$12:$T$83*(('Predictions &amp; Results'!$I$12:$I$83=$AD$16)*'Predictions &amp; Results'!$S$12:$S$83+('Predictions &amp; Results'!$J$12:$J$83=$AD$16)*'Predictions &amp; Results'!$R$12:$R$83))</f>
        <v>0</v>
      </c>
      <c r="AN16" s="179">
        <f>AL16-AM16</f>
        <v>0</v>
      </c>
      <c r="AO16" s="179">
        <f>AI16*3+AJ16</f>
        <v>0</v>
      </c>
      <c r="AP16" s="222">
        <f>IF(SUM($AH$13:$AH$16)=0,0,1+((AO13&gt;AO16)+(AO13=AO16)*(AN13&gt;AN16)+(AO13=AO16)*(AN13=AN16)*(AL13&gt;AL16)+(AO13=AO16)*(AN13=AN16)*(AL13=AL16)*(13&lt;16))+((AO14&gt;AO16)+(AO14=AO16)*(AN14&gt;AN16)+(AO14=AO16)*(AN14=AN16)*(AL14&gt;AL16)+(AO14=AO16)*(AN14=AN16)*(AL14=AL16)*(14&lt;16))+((AO15&gt;AO16)+(AO15=AO16)*(AN15&gt;AN16)+(AO15=AO16)*(AN15=AN16)*(AL15&gt;AL16)+(AO15=AO16)*(AN15=AN16)*(AL15=AL16)*(15&lt;16)))</f>
        <v>0</v>
      </c>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row>
    <row r="17" spans="1:93" ht="15" customHeight="1">
      <c r="A17" s="34"/>
      <c r="B17" s="201"/>
      <c r="C17" s="212"/>
      <c r="D17" s="92"/>
      <c r="E17" s="92"/>
      <c r="F17" s="92"/>
      <c r="G17" s="92"/>
      <c r="H17" s="92"/>
      <c r="I17" s="92"/>
      <c r="J17" s="92"/>
      <c r="K17" s="92"/>
      <c r="L17" s="92"/>
      <c r="M17" s="92"/>
      <c r="N17" s="92"/>
      <c r="O17" s="92"/>
      <c r="P17" s="88"/>
      <c r="Q17" s="92"/>
      <c r="R17" s="92"/>
      <c r="S17" s="92"/>
      <c r="T17" s="92"/>
      <c r="U17" s="92"/>
      <c r="V17" s="92"/>
      <c r="W17" s="92"/>
      <c r="X17" s="92"/>
      <c r="Y17" s="92"/>
      <c r="Z17" s="92"/>
      <c r="AA17" s="92"/>
      <c r="AB17" s="92"/>
      <c r="AC17" s="88"/>
      <c r="AD17" s="92"/>
      <c r="AE17" s="92"/>
      <c r="AF17" s="92"/>
      <c r="AG17" s="92"/>
      <c r="AH17" s="92"/>
      <c r="AI17" s="92"/>
      <c r="AJ17" s="92"/>
      <c r="AK17" s="92"/>
      <c r="AL17" s="92"/>
      <c r="AM17" s="92"/>
      <c r="AN17" s="92"/>
      <c r="AO17" s="92"/>
      <c r="AP17" s="220"/>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row>
    <row r="18" spans="1:93" ht="8.25" customHeight="1">
      <c r="A18" s="34"/>
      <c r="B18" s="201"/>
      <c r="C18" s="212"/>
      <c r="D18" s="92"/>
      <c r="E18" s="92"/>
      <c r="F18" s="92"/>
      <c r="G18" s="92"/>
      <c r="H18" s="92"/>
      <c r="I18" s="92"/>
      <c r="J18" s="92"/>
      <c r="K18" s="92"/>
      <c r="L18" s="92"/>
      <c r="M18" s="92"/>
      <c r="N18" s="92"/>
      <c r="O18" s="92"/>
      <c r="P18" s="88"/>
      <c r="Q18" s="92"/>
      <c r="R18" s="92"/>
      <c r="S18" s="92"/>
      <c r="T18" s="92"/>
      <c r="U18" s="92"/>
      <c r="V18" s="92"/>
      <c r="W18" s="92"/>
      <c r="X18" s="92"/>
      <c r="Y18" s="92"/>
      <c r="Z18" s="92"/>
      <c r="AA18" s="92"/>
      <c r="AB18" s="92"/>
      <c r="AC18" s="88"/>
      <c r="AD18" s="92"/>
      <c r="AE18" s="92"/>
      <c r="AF18" s="92"/>
      <c r="AG18" s="92"/>
      <c r="AH18" s="92"/>
      <c r="AI18" s="92"/>
      <c r="AJ18" s="92"/>
      <c r="AK18" s="92"/>
      <c r="AL18" s="92"/>
      <c r="AM18" s="92"/>
      <c r="AN18" s="92"/>
      <c r="AO18" s="92"/>
      <c r="AP18" s="220"/>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row>
    <row r="19" spans="1:93" ht="8.25" customHeight="1">
      <c r="A19" s="34"/>
      <c r="B19" s="201"/>
      <c r="C19" s="212"/>
      <c r="D19" s="92"/>
      <c r="E19" s="92"/>
      <c r="F19" s="92"/>
      <c r="G19" s="92"/>
      <c r="H19" s="92"/>
      <c r="I19" s="92"/>
      <c r="J19" s="92"/>
      <c r="K19" s="92"/>
      <c r="L19" s="92"/>
      <c r="M19" s="92"/>
      <c r="N19" s="92"/>
      <c r="O19" s="92"/>
      <c r="P19" s="88"/>
      <c r="Q19" s="92"/>
      <c r="R19" s="92"/>
      <c r="S19" s="92"/>
      <c r="T19" s="92"/>
      <c r="U19" s="92"/>
      <c r="V19" s="92"/>
      <c r="W19" s="92"/>
      <c r="X19" s="92"/>
      <c r="Y19" s="92"/>
      <c r="Z19" s="92"/>
      <c r="AA19" s="92"/>
      <c r="AB19" s="92"/>
      <c r="AC19" s="88"/>
      <c r="AD19" s="92"/>
      <c r="AE19" s="92"/>
      <c r="AF19" s="92"/>
      <c r="AG19" s="92"/>
      <c r="AH19" s="92"/>
      <c r="AI19" s="92"/>
      <c r="AJ19" s="92"/>
      <c r="AK19" s="92"/>
      <c r="AL19" s="92"/>
      <c r="AM19" s="92"/>
      <c r="AN19" s="92"/>
      <c r="AO19" s="92"/>
      <c r="AP19" s="220"/>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row>
    <row r="20" spans="1:93" ht="16.5" customHeight="1">
      <c r="A20" s="34"/>
      <c r="B20" s="201"/>
      <c r="C20" s="212"/>
      <c r="D20" s="343" t="str">
        <f>VLOOKUP("group_prefix",langTable,MATCH(langName,_lang!$A$1:$F$1,0),FALSE())&amp;" D"</f>
        <v>GROUP D</v>
      </c>
      <c r="E20" s="267"/>
      <c r="F20" s="267"/>
      <c r="G20" s="267"/>
      <c r="H20" s="267"/>
      <c r="I20" s="267"/>
      <c r="J20" s="267"/>
      <c r="K20" s="267"/>
      <c r="L20" s="267"/>
      <c r="M20" s="267"/>
      <c r="N20" s="267"/>
      <c r="O20" s="267"/>
      <c r="P20" s="88"/>
      <c r="Q20" s="343" t="str">
        <f>VLOOKUP("group_prefix",langTable,MATCH(langName,_lang!$A$1:$F$1,0),FALSE())&amp;" E"</f>
        <v>GROUP E</v>
      </c>
      <c r="R20" s="267"/>
      <c r="S20" s="267"/>
      <c r="T20" s="267"/>
      <c r="U20" s="267"/>
      <c r="V20" s="267"/>
      <c r="W20" s="267"/>
      <c r="X20" s="267"/>
      <c r="Y20" s="267"/>
      <c r="Z20" s="267"/>
      <c r="AA20" s="267"/>
      <c r="AB20" s="267"/>
      <c r="AC20" s="88"/>
      <c r="AD20" s="343" t="str">
        <f>VLOOKUP("group_prefix",langTable,MATCH(langName,_lang!$A$1:$F$1,0),FALSE())&amp;" F"</f>
        <v>GROUP F</v>
      </c>
      <c r="AE20" s="267"/>
      <c r="AF20" s="267"/>
      <c r="AG20" s="267"/>
      <c r="AH20" s="267"/>
      <c r="AI20" s="267"/>
      <c r="AJ20" s="267"/>
      <c r="AK20" s="267"/>
      <c r="AL20" s="267"/>
      <c r="AM20" s="267"/>
      <c r="AN20" s="267"/>
      <c r="AO20" s="267"/>
      <c r="AP20" s="220"/>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row>
    <row r="21" spans="1:93" ht="15" customHeight="1">
      <c r="A21" s="34"/>
      <c r="B21" s="201"/>
      <c r="C21" s="212"/>
      <c r="D21" s="344" t="str">
        <f>VLOOKUP("hdr_team_uc",langTable,MATCH(langName,_lang!$A$1:$F$1,0),FALSE())</f>
        <v>TEAM</v>
      </c>
      <c r="E21" s="341"/>
      <c r="F21" s="341"/>
      <c r="G21" s="342"/>
      <c r="H21" s="90" t="str">
        <f>VLOOKUP("hdr_p",langTable,MATCH(langName,_lang!$A$1:$F$1,0),FALSE())</f>
        <v>P</v>
      </c>
      <c r="I21" s="90" t="str">
        <f>VLOOKUP("hdr_w",langTable,MATCH(langName,_lang!$A$1:$F$1,0),FALSE())</f>
        <v>W</v>
      </c>
      <c r="J21" s="90" t="str">
        <f>VLOOKUP("hdr_d",langTable,MATCH(langName,_lang!$A$1:$F$1,0),FALSE())</f>
        <v>D</v>
      </c>
      <c r="K21" s="90" t="str">
        <f>VLOOKUP("hdr_l",langTable,MATCH(langName,_lang!$A$1:$F$1,0),FALSE())</f>
        <v>L</v>
      </c>
      <c r="L21" s="90" t="str">
        <f>VLOOKUP("hdr_gf",langTable,MATCH(langName,_lang!$A$1:$F$1,0),FALSE())</f>
        <v>GF</v>
      </c>
      <c r="M21" s="90" t="str">
        <f>VLOOKUP("hdr_ga",langTable,MATCH(langName,_lang!$A$1:$F$1,0),FALSE())</f>
        <v>GA</v>
      </c>
      <c r="N21" s="90" t="str">
        <f>VLOOKUP("hdr_gd",langTable,MATCH(langName,_lang!$A$1:$F$1,0),FALSE())</f>
        <v>GD</v>
      </c>
      <c r="O21" s="90" t="str">
        <f>VLOOKUP("hdr_pts",langTable,MATCH(langName,_lang!$A$1:$F$1,0),FALSE())</f>
        <v>Pts</v>
      </c>
      <c r="P21" s="88"/>
      <c r="Q21" s="344" t="str">
        <f>VLOOKUP("hdr_team_uc",langTable,MATCH(langName,_lang!$A$1:$F$1,0),FALSE())</f>
        <v>TEAM</v>
      </c>
      <c r="R21" s="341"/>
      <c r="S21" s="341"/>
      <c r="T21" s="342"/>
      <c r="U21" s="90" t="str">
        <f>VLOOKUP("hdr_p",langTable,MATCH(langName,_lang!$A$1:$F$1,0),FALSE())</f>
        <v>P</v>
      </c>
      <c r="V21" s="90" t="str">
        <f>VLOOKUP("hdr_w",langTable,MATCH(langName,_lang!$A$1:$F$1,0),FALSE())</f>
        <v>W</v>
      </c>
      <c r="W21" s="90" t="str">
        <f>VLOOKUP("hdr_d",langTable,MATCH(langName,_lang!$A$1:$F$1,0),FALSE())</f>
        <v>D</v>
      </c>
      <c r="X21" s="90" t="str">
        <f>VLOOKUP("hdr_l",langTable,MATCH(langName,_lang!$A$1:$F$1,0),FALSE())</f>
        <v>L</v>
      </c>
      <c r="Y21" s="90" t="str">
        <f>VLOOKUP("hdr_gf",langTable,MATCH(langName,_lang!$A$1:$F$1,0),FALSE())</f>
        <v>GF</v>
      </c>
      <c r="Z21" s="90" t="str">
        <f>VLOOKUP("hdr_ga",langTable,MATCH(langName,_lang!$A$1:$F$1,0),FALSE())</f>
        <v>GA</v>
      </c>
      <c r="AA21" s="90" t="str">
        <f>VLOOKUP("hdr_gd",langTable,MATCH(langName,_lang!$A$1:$F$1,0),FALSE())</f>
        <v>GD</v>
      </c>
      <c r="AB21" s="90" t="str">
        <f>VLOOKUP("hdr_pts",langTable,MATCH(langName,_lang!$A$1:$F$1,0),FALSE())</f>
        <v>Pts</v>
      </c>
      <c r="AC21" s="88"/>
      <c r="AD21" s="344" t="str">
        <f>VLOOKUP("hdr_team_uc",langTable,MATCH(langName,_lang!$A$1:$F$1,0),FALSE())</f>
        <v>TEAM</v>
      </c>
      <c r="AE21" s="341"/>
      <c r="AF21" s="341"/>
      <c r="AG21" s="342"/>
      <c r="AH21" s="90" t="str">
        <f>VLOOKUP("hdr_p",langTable,MATCH(langName,_lang!$A$1:$F$1,0),FALSE())</f>
        <v>P</v>
      </c>
      <c r="AI21" s="90" t="str">
        <f>VLOOKUP("hdr_w",langTable,MATCH(langName,_lang!$A$1:$F$1,0),FALSE())</f>
        <v>W</v>
      </c>
      <c r="AJ21" s="90" t="str">
        <f>VLOOKUP("hdr_d",langTable,MATCH(langName,_lang!$A$1:$F$1,0),FALSE())</f>
        <v>D</v>
      </c>
      <c r="AK21" s="90" t="str">
        <f>VLOOKUP("hdr_l",langTable,MATCH(langName,_lang!$A$1:$F$1,0),FALSE())</f>
        <v>L</v>
      </c>
      <c r="AL21" s="90" t="str">
        <f>VLOOKUP("hdr_gf",langTable,MATCH(langName,_lang!$A$1:$F$1,0),FALSE())</f>
        <v>GF</v>
      </c>
      <c r="AM21" s="90" t="str">
        <f>VLOOKUP("hdr_ga",langTable,MATCH(langName,_lang!$A$1:$F$1,0),FALSE())</f>
        <v>GA</v>
      </c>
      <c r="AN21" s="90" t="str">
        <f>VLOOKUP("hdr_gd",langTable,MATCH(langName,_lang!$A$1:$F$1,0),FALSE())</f>
        <v>GD</v>
      </c>
      <c r="AO21" s="90" t="str">
        <f>VLOOKUP("hdr_pts",langTable,MATCH(langName,_lang!$A$1:$F$1,0),FALSE())</f>
        <v>Pts</v>
      </c>
      <c r="AP21" s="220"/>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row>
    <row r="22" spans="1:93" ht="15" customHeight="1">
      <c r="A22" s="34"/>
      <c r="B22" s="201"/>
      <c r="C22" s="212"/>
      <c r="D22" s="340" t="s">
        <v>19</v>
      </c>
      <c r="E22" s="341"/>
      <c r="F22" s="341"/>
      <c r="G22" s="342"/>
      <c r="H22" s="179">
        <f>SUMPRODUCT(('Predictions &amp; Results'!$H$12:$H$83="GD")*'Predictions &amp; Results'!$T$12:$T$83*(('Predictions &amp; Results'!$I$12:$I$83=$D$22)+('Predictions &amp; Results'!$J$12:$J$83=$D$22)))</f>
        <v>0</v>
      </c>
      <c r="I22" s="179">
        <f>SUMPRODUCT(('Predictions &amp; Results'!$H$12:$H$83="GD")*'Predictions &amp; Results'!$T$12:$T$83*(('Predictions &amp; Results'!$I$12:$I$83=$D$22)*('Predictions &amp; Results'!$R$12:$R$83&gt;'Predictions &amp; Results'!$S$12:$S$83)+('Predictions &amp; Results'!$J$12:$J$83=$D$22)*('Predictions &amp; Results'!$S$12:$S$83&gt;'Predictions &amp; Results'!$R$12:$R$83)))</f>
        <v>0</v>
      </c>
      <c r="J22" s="179">
        <f>SUMPRODUCT(('Predictions &amp; Results'!$H$12:$H$83="GD")*'Predictions &amp; Results'!$T$12:$T$83*(('Predictions &amp; Results'!$I$12:$I$83=$D$22)+('Predictions &amp; Results'!$J$12:$J$83=$D$22))*('Predictions &amp; Results'!$R$12:$R$83='Predictions &amp; Results'!$S$12:$S$83))</f>
        <v>0</v>
      </c>
      <c r="K22" s="179">
        <f>SUMPRODUCT(('Predictions &amp; Results'!$H$12:$H$83="GD")*'Predictions &amp; Results'!$T$12:$T$83*(('Predictions &amp; Results'!$I$12:$I$83=$D$22)*('Predictions &amp; Results'!$R$12:$R$83&lt;'Predictions &amp; Results'!$S$12:$S$83)+('Predictions &amp; Results'!$J$12:$J$83=$D$22)*('Predictions &amp; Results'!$S$12:$S$83&lt;'Predictions &amp; Results'!$R$12:$R$83)))</f>
        <v>0</v>
      </c>
      <c r="L22" s="179">
        <f>SUMPRODUCT(('Predictions &amp; Results'!$H$12:$H$83="GD")*'Predictions &amp; Results'!$T$12:$T$83*(('Predictions &amp; Results'!$I$12:$I$83=$D$22)*'Predictions &amp; Results'!$R$12:$R$83+('Predictions &amp; Results'!$J$12:$J$83=$D$22)*'Predictions &amp; Results'!$S$12:$S$83))</f>
        <v>0</v>
      </c>
      <c r="M22" s="179">
        <f>SUMPRODUCT(('Predictions &amp; Results'!$H$12:$H$83="GD")*'Predictions &amp; Results'!$T$12:$T$83*(('Predictions &amp; Results'!$I$12:$I$83=$D$22)*'Predictions &amp; Results'!$S$12:$S$83+('Predictions &amp; Results'!$J$12:$J$83=$D$22)*'Predictions &amp; Results'!$R$12:$R$83))</f>
        <v>0</v>
      </c>
      <c r="N22" s="179">
        <f>L22-M22</f>
        <v>0</v>
      </c>
      <c r="O22" s="179">
        <f>I22*3+J22</f>
        <v>0</v>
      </c>
      <c r="P22" s="91">
        <f>IF(SUM($H$22:$H$25)=0,0,1+((O23&gt;O22)+(O23=O22)*(N23&gt;N22)+(O23=O22)*(N23=N22)*(L23&gt;L22)+(O23=O22)*(N23=N22)*(L23=L22)*(23&lt;22))+((O24&gt;O22)+(O24=O22)*(N24&gt;N22)+(O24=O22)*(N24=N22)*(L24&gt;L22)+(O24=O22)*(N24=N22)*(L24=L22)*(24&lt;22))+((O25&gt;O22)+(O25=O22)*(N25&gt;N22)+(O25=O22)*(N25=N22)*(L25&gt;L22)+(O25=O22)*(N25=N22)*(L25=L22)*(25&lt;22)))</f>
        <v>0</v>
      </c>
      <c r="Q22" s="340" t="s">
        <v>36</v>
      </c>
      <c r="R22" s="341"/>
      <c r="S22" s="341"/>
      <c r="T22" s="342"/>
      <c r="U22" s="179">
        <f>SUMPRODUCT(('Predictions &amp; Results'!$H$12:$H$83="GE")*'Predictions &amp; Results'!$T$12:$T$83*(('Predictions &amp; Results'!$I$12:$I$83=$Q$22)+('Predictions &amp; Results'!$J$12:$J$83=$Q$22)))</f>
        <v>0</v>
      </c>
      <c r="V22" s="179">
        <f>SUMPRODUCT(('Predictions &amp; Results'!$H$12:$H$83="GE")*'Predictions &amp; Results'!$T$12:$T$83*(('Predictions &amp; Results'!$I$12:$I$83=$Q$22)*('Predictions &amp; Results'!$R$12:$R$83&gt;'Predictions &amp; Results'!$S$12:$S$83)+('Predictions &amp; Results'!$J$12:$J$83=$Q$22)*('Predictions &amp; Results'!$S$12:$S$83&gt;'Predictions &amp; Results'!$R$12:$R$83)))</f>
        <v>0</v>
      </c>
      <c r="W22" s="179">
        <f>SUMPRODUCT(('Predictions &amp; Results'!$H$12:$H$83="GE")*'Predictions &amp; Results'!$T$12:$T$83*(('Predictions &amp; Results'!$I$12:$I$83=$Q$22)+('Predictions &amp; Results'!$J$12:$J$83=$Q$22))*('Predictions &amp; Results'!$R$12:$R$83='Predictions &amp; Results'!$S$12:$S$83))</f>
        <v>0</v>
      </c>
      <c r="X22" s="179">
        <f>SUMPRODUCT(('Predictions &amp; Results'!$H$12:$H$83="GE")*'Predictions &amp; Results'!$T$12:$T$83*(('Predictions &amp; Results'!$I$12:$I$83=$Q$22)*('Predictions &amp; Results'!$R$12:$R$83&lt;'Predictions &amp; Results'!$S$12:$S$83)+('Predictions &amp; Results'!$J$12:$J$83=$Q$22)*('Predictions &amp; Results'!$S$12:$S$83&lt;'Predictions &amp; Results'!$R$12:$R$83)))</f>
        <v>0</v>
      </c>
      <c r="Y22" s="179">
        <f>SUMPRODUCT(('Predictions &amp; Results'!$H$12:$H$83="GE")*'Predictions &amp; Results'!$T$12:$T$83*(('Predictions &amp; Results'!$I$12:$I$83=$Q$22)*'Predictions &amp; Results'!$R$12:$R$83+('Predictions &amp; Results'!$J$12:$J$83=$Q$22)*'Predictions &amp; Results'!$S$12:$S$83))</f>
        <v>0</v>
      </c>
      <c r="Z22" s="179">
        <f>SUMPRODUCT(('Predictions &amp; Results'!$H$12:$H$83="GE")*'Predictions &amp; Results'!$T$12:$T$83*(('Predictions &amp; Results'!$I$12:$I$83=$Q$22)*'Predictions &amp; Results'!$S$12:$S$83+('Predictions &amp; Results'!$J$12:$J$83=$Q$22)*'Predictions &amp; Results'!$R$12:$R$83))</f>
        <v>0</v>
      </c>
      <c r="AA22" s="179">
        <f>Y22-Z22</f>
        <v>0</v>
      </c>
      <c r="AB22" s="179">
        <f>V22*3+W22</f>
        <v>0</v>
      </c>
      <c r="AC22" s="91">
        <f>IF(SUM($U$22:$U$25)=0,0,1+((AB23&gt;AB22)+(AB23=AB22)*(AA23&gt;AA22)+(AB23=AB22)*(AA23=AA22)*(Y23&gt;Y22)+(AB23=AB22)*(AA23=AA22)*(Y23=Y22)*(23&lt;22))+((AB24&gt;AB22)+(AB24=AB22)*(AA24&gt;AA22)+(AB24=AB22)*(AA24=AA22)*(Y24&gt;Y22)+(AB24=AB22)*(AA24=AA22)*(Y24=Y22)*(24&lt;22))+((AB25&gt;AB22)+(AB25=AB22)*(AA25&gt;AA22)+(AB25=AB22)*(AA25=AA22)*(Y25&gt;Y22)+(AB25=AB22)*(AA25=AA22)*(Y25=Y22)*(25&lt;22)))</f>
        <v>0</v>
      </c>
      <c r="AD22" s="340" t="s">
        <v>40</v>
      </c>
      <c r="AE22" s="341"/>
      <c r="AF22" s="341"/>
      <c r="AG22" s="342"/>
      <c r="AH22" s="179">
        <f>SUMPRODUCT(('Predictions &amp; Results'!$H$12:$H$83="GF")*'Predictions &amp; Results'!$T$12:$T$83*(('Predictions &amp; Results'!$I$12:$I$83=$AD$22)+('Predictions &amp; Results'!$J$12:$J$83=$AD$22)))</f>
        <v>0</v>
      </c>
      <c r="AI22" s="179">
        <f>SUMPRODUCT(('Predictions &amp; Results'!$H$12:$H$83="GF")*'Predictions &amp; Results'!$T$12:$T$83*(('Predictions &amp; Results'!$I$12:$I$83=$AD$22)*('Predictions &amp; Results'!$R$12:$R$83&gt;'Predictions &amp; Results'!$S$12:$S$83)+('Predictions &amp; Results'!$J$12:$J$83=$AD$22)*('Predictions &amp; Results'!$S$12:$S$83&gt;'Predictions &amp; Results'!$R$12:$R$83)))</f>
        <v>0</v>
      </c>
      <c r="AJ22" s="179">
        <f>SUMPRODUCT(('Predictions &amp; Results'!$H$12:$H$83="GF")*'Predictions &amp; Results'!$T$12:$T$83*(('Predictions &amp; Results'!$I$12:$I$83=$AD$22)+('Predictions &amp; Results'!$J$12:$J$83=$AD$22))*('Predictions &amp; Results'!$R$12:$R$83='Predictions &amp; Results'!$S$12:$S$83))</f>
        <v>0</v>
      </c>
      <c r="AK22" s="179">
        <f>SUMPRODUCT(('Predictions &amp; Results'!$H$12:$H$83="GF")*'Predictions &amp; Results'!$T$12:$T$83*(('Predictions &amp; Results'!$I$12:$I$83=$AD$22)*('Predictions &amp; Results'!$R$12:$R$83&lt;'Predictions &amp; Results'!$S$12:$S$83)+('Predictions &amp; Results'!$J$12:$J$83=$AD$22)*('Predictions &amp; Results'!$S$12:$S$83&lt;'Predictions &amp; Results'!$R$12:$R$83)))</f>
        <v>0</v>
      </c>
      <c r="AL22" s="179">
        <f>SUMPRODUCT(('Predictions &amp; Results'!$H$12:$H$83="GF")*'Predictions &amp; Results'!$T$12:$T$83*(('Predictions &amp; Results'!$I$12:$I$83=$AD$22)*'Predictions &amp; Results'!$R$12:$R$83+('Predictions &amp; Results'!$J$12:$J$83=$AD$22)*'Predictions &amp; Results'!$S$12:$S$83))</f>
        <v>0</v>
      </c>
      <c r="AM22" s="179">
        <f>SUMPRODUCT(('Predictions &amp; Results'!$H$12:$H$83="GF")*'Predictions &amp; Results'!$T$12:$T$83*(('Predictions &amp; Results'!$I$12:$I$83=$AD$22)*'Predictions &amp; Results'!$S$12:$S$83+('Predictions &amp; Results'!$J$12:$J$83=$AD$22)*'Predictions &amp; Results'!$R$12:$R$83))</f>
        <v>0</v>
      </c>
      <c r="AN22" s="179">
        <f>AL22-AM22</f>
        <v>0</v>
      </c>
      <c r="AO22" s="179">
        <f>AI22*3+AJ22</f>
        <v>0</v>
      </c>
      <c r="AP22" s="222">
        <f>IF(SUM($AH$22:$AH$25)=0,0,1+((AO23&gt;AO22)+(AO23=AO22)*(AN23&gt;AN22)+(AO23=AO22)*(AN23=AN22)*(AL23&gt;AL22)+(AO23=AO22)*(AN23=AN22)*(AL23=AL22)*(23&lt;22))+((AO24&gt;AO22)+(AO24=AO22)*(AN24&gt;AN22)+(AO24=AO22)*(AN24=AN22)*(AL24&gt;AL22)+(AO24=AO22)*(AN24=AN22)*(AL24=AL22)*(24&lt;22))+((AO25&gt;AO22)+(AO25=AO22)*(AN25&gt;AN22)+(AO25=AO22)*(AN25=AN22)*(AL25&gt;AL22)+(AO25=AO22)*(AN25=AN22)*(AL25=AL22)*(25&lt;22)))</f>
        <v>0</v>
      </c>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row>
    <row r="23" spans="1:93" ht="15" customHeight="1">
      <c r="A23" s="34"/>
      <c r="B23" s="201"/>
      <c r="C23" s="212"/>
      <c r="D23" s="340" t="s">
        <v>20</v>
      </c>
      <c r="E23" s="341"/>
      <c r="F23" s="341"/>
      <c r="G23" s="342"/>
      <c r="H23" s="179">
        <f>SUMPRODUCT(('Predictions &amp; Results'!$H$12:$H$83="GD")*'Predictions &amp; Results'!$T$12:$T$83*(('Predictions &amp; Results'!$I$12:$I$83=$D$23)+('Predictions &amp; Results'!$J$12:$J$83=$D$23)))</f>
        <v>0</v>
      </c>
      <c r="I23" s="179">
        <f>SUMPRODUCT(('Predictions &amp; Results'!$H$12:$H$83="GD")*'Predictions &amp; Results'!$T$12:$T$83*(('Predictions &amp; Results'!$I$12:$I$83=$D$23)*('Predictions &amp; Results'!$R$12:$R$83&gt;'Predictions &amp; Results'!$S$12:$S$83)+('Predictions &amp; Results'!$J$12:$J$83=$D$23)*('Predictions &amp; Results'!$S$12:$S$83&gt;'Predictions &amp; Results'!$R$12:$R$83)))</f>
        <v>0</v>
      </c>
      <c r="J23" s="179">
        <f>SUMPRODUCT(('Predictions &amp; Results'!$H$12:$H$83="GD")*'Predictions &amp; Results'!$T$12:$T$83*(('Predictions &amp; Results'!$I$12:$I$83=$D$23)+('Predictions &amp; Results'!$J$12:$J$83=$D$23))*('Predictions &amp; Results'!$R$12:$R$83='Predictions &amp; Results'!$S$12:$S$83))</f>
        <v>0</v>
      </c>
      <c r="K23" s="179">
        <f>SUMPRODUCT(('Predictions &amp; Results'!$H$12:$H$83="GD")*'Predictions &amp; Results'!$T$12:$T$83*(('Predictions &amp; Results'!$I$12:$I$83=$D$23)*('Predictions &amp; Results'!$R$12:$R$83&lt;'Predictions &amp; Results'!$S$12:$S$83)+('Predictions &amp; Results'!$J$12:$J$83=$D$23)*('Predictions &amp; Results'!$S$12:$S$83&lt;'Predictions &amp; Results'!$R$12:$R$83)))</f>
        <v>0</v>
      </c>
      <c r="L23" s="179">
        <f>SUMPRODUCT(('Predictions &amp; Results'!$H$12:$H$83="GD")*'Predictions &amp; Results'!$T$12:$T$83*(('Predictions &amp; Results'!$I$12:$I$83=$D$23)*'Predictions &amp; Results'!$R$12:$R$83+('Predictions &amp; Results'!$J$12:$J$83=$D$23)*'Predictions &amp; Results'!$S$12:$S$83))</f>
        <v>0</v>
      </c>
      <c r="M23" s="179">
        <f>SUMPRODUCT(('Predictions &amp; Results'!$H$12:$H$83="GD")*'Predictions &amp; Results'!$T$12:$T$83*(('Predictions &amp; Results'!$I$12:$I$83=$D$23)*'Predictions &amp; Results'!$S$12:$S$83+('Predictions &amp; Results'!$J$12:$J$83=$D$23)*'Predictions &amp; Results'!$R$12:$R$83))</f>
        <v>0</v>
      </c>
      <c r="N23" s="179">
        <f>L23-M23</f>
        <v>0</v>
      </c>
      <c r="O23" s="179">
        <f>I23*3+J23</f>
        <v>0</v>
      </c>
      <c r="P23" s="91">
        <f>IF(SUM($H$22:$H$25)=0,0,1+((O22&gt;O23)+(O22=O23)*(N22&gt;N23)+(O22=O23)*(N22=N23)*(L22&gt;L23)+(O22=O23)*(N22=N23)*(L22=L23)*(22&lt;23))+((O24&gt;O23)+(O24=O23)*(N24&gt;N23)+(O24=O23)*(N24=N23)*(L24&gt;L23)+(O24=O23)*(N24=N23)*(L24=L23)*(24&lt;23))+((O25&gt;O23)+(O25=O23)*(N25&gt;N23)+(O25=O23)*(N25=N23)*(L25&gt;L23)+(O25=O23)*(N25=N23)*(L25=L23)*(25&lt;23)))</f>
        <v>0</v>
      </c>
      <c r="Q23" s="340" t="s">
        <v>37</v>
      </c>
      <c r="R23" s="341"/>
      <c r="S23" s="341"/>
      <c r="T23" s="342"/>
      <c r="U23" s="179">
        <f>SUMPRODUCT(('Predictions &amp; Results'!$H$12:$H$83="GE")*'Predictions &amp; Results'!$T$12:$T$83*(('Predictions &amp; Results'!$I$12:$I$83=$Q$23)+('Predictions &amp; Results'!$J$12:$J$83=$Q$23)))</f>
        <v>0</v>
      </c>
      <c r="V23" s="179">
        <f>SUMPRODUCT(('Predictions &amp; Results'!$H$12:$H$83="GE")*'Predictions &amp; Results'!$T$12:$T$83*(('Predictions &amp; Results'!$I$12:$I$83=$Q$23)*('Predictions &amp; Results'!$R$12:$R$83&gt;'Predictions &amp; Results'!$S$12:$S$83)+('Predictions &amp; Results'!$J$12:$J$83=$Q$23)*('Predictions &amp; Results'!$S$12:$S$83&gt;'Predictions &amp; Results'!$R$12:$R$83)))</f>
        <v>0</v>
      </c>
      <c r="W23" s="179">
        <f>SUMPRODUCT(('Predictions &amp; Results'!$H$12:$H$83="GE")*'Predictions &amp; Results'!$T$12:$T$83*(('Predictions &amp; Results'!$I$12:$I$83=$Q$23)+('Predictions &amp; Results'!$J$12:$J$83=$Q$23))*('Predictions &amp; Results'!$R$12:$R$83='Predictions &amp; Results'!$S$12:$S$83))</f>
        <v>0</v>
      </c>
      <c r="X23" s="179">
        <f>SUMPRODUCT(('Predictions &amp; Results'!$H$12:$H$83="GE")*'Predictions &amp; Results'!$T$12:$T$83*(('Predictions &amp; Results'!$I$12:$I$83=$Q$23)*('Predictions &amp; Results'!$R$12:$R$83&lt;'Predictions &amp; Results'!$S$12:$S$83)+('Predictions &amp; Results'!$J$12:$J$83=$Q$23)*('Predictions &amp; Results'!$S$12:$S$83&lt;'Predictions &amp; Results'!$R$12:$R$83)))</f>
        <v>0</v>
      </c>
      <c r="Y23" s="179">
        <f>SUMPRODUCT(('Predictions &amp; Results'!$H$12:$H$83="GE")*'Predictions &amp; Results'!$T$12:$T$83*(('Predictions &amp; Results'!$I$12:$I$83=$Q$23)*'Predictions &amp; Results'!$R$12:$R$83+('Predictions &amp; Results'!$J$12:$J$83=$Q$23)*'Predictions &amp; Results'!$S$12:$S$83))</f>
        <v>0</v>
      </c>
      <c r="Z23" s="179">
        <f>SUMPRODUCT(('Predictions &amp; Results'!$H$12:$H$83="GE")*'Predictions &amp; Results'!$T$12:$T$83*(('Predictions &amp; Results'!$I$12:$I$83=$Q$23)*'Predictions &amp; Results'!$S$12:$S$83+('Predictions &amp; Results'!$J$12:$J$83=$Q$23)*'Predictions &amp; Results'!$R$12:$R$83))</f>
        <v>0</v>
      </c>
      <c r="AA23" s="179">
        <f>Y23-Z23</f>
        <v>0</v>
      </c>
      <c r="AB23" s="179">
        <f>V23*3+W23</f>
        <v>0</v>
      </c>
      <c r="AC23" s="91">
        <f>IF(SUM($U$22:$U$25)=0,0,1+((AB22&gt;AB23)+(AB22=AB23)*(AA22&gt;AA23)+(AB22=AB23)*(AA22=AA23)*(Y22&gt;Y23)+(AB22=AB23)*(AA22=AA23)*(Y22=Y23)*(22&lt;23))+((AB24&gt;AB23)+(AB24=AB23)*(AA24&gt;AA23)+(AB24=AB23)*(AA24=AA23)*(Y24&gt;Y23)+(AB24=AB23)*(AA24=AA23)*(Y24=Y23)*(24&lt;23))+((AB25&gt;AB23)+(AB25=AB23)*(AA25&gt;AA23)+(AB25=AB23)*(AA25=AA23)*(Y25&gt;Y23)+(AB25=AB23)*(AA25=AA23)*(Y25=Y23)*(25&lt;23)))</f>
        <v>0</v>
      </c>
      <c r="AD23" s="340" t="s">
        <v>41</v>
      </c>
      <c r="AE23" s="341"/>
      <c r="AF23" s="341"/>
      <c r="AG23" s="342"/>
      <c r="AH23" s="179">
        <f>SUMPRODUCT(('Predictions &amp; Results'!$H$12:$H$83="GF")*'Predictions &amp; Results'!$T$12:$T$83*(('Predictions &amp; Results'!$I$12:$I$83=$AD$23)+('Predictions &amp; Results'!$J$12:$J$83=$AD$23)))</f>
        <v>0</v>
      </c>
      <c r="AI23" s="179">
        <f>SUMPRODUCT(('Predictions &amp; Results'!$H$12:$H$83="GF")*'Predictions &amp; Results'!$T$12:$T$83*(('Predictions &amp; Results'!$I$12:$I$83=$AD$23)*('Predictions &amp; Results'!$R$12:$R$83&gt;'Predictions &amp; Results'!$S$12:$S$83)+('Predictions &amp; Results'!$J$12:$J$83=$AD$23)*('Predictions &amp; Results'!$S$12:$S$83&gt;'Predictions &amp; Results'!$R$12:$R$83)))</f>
        <v>0</v>
      </c>
      <c r="AJ23" s="179">
        <f>SUMPRODUCT(('Predictions &amp; Results'!$H$12:$H$83="GF")*'Predictions &amp; Results'!$T$12:$T$83*(('Predictions &amp; Results'!$I$12:$I$83=$AD$23)+('Predictions &amp; Results'!$J$12:$J$83=$AD$23))*('Predictions &amp; Results'!$R$12:$R$83='Predictions &amp; Results'!$S$12:$S$83))</f>
        <v>0</v>
      </c>
      <c r="AK23" s="179">
        <f>SUMPRODUCT(('Predictions &amp; Results'!$H$12:$H$83="GF")*'Predictions &amp; Results'!$T$12:$T$83*(('Predictions &amp; Results'!$I$12:$I$83=$AD$23)*('Predictions &amp; Results'!$R$12:$R$83&lt;'Predictions &amp; Results'!$S$12:$S$83)+('Predictions &amp; Results'!$J$12:$J$83=$AD$23)*('Predictions &amp; Results'!$S$12:$S$83&lt;'Predictions &amp; Results'!$R$12:$R$83)))</f>
        <v>0</v>
      </c>
      <c r="AL23" s="179">
        <f>SUMPRODUCT(('Predictions &amp; Results'!$H$12:$H$83="GF")*'Predictions &amp; Results'!$T$12:$T$83*(('Predictions &amp; Results'!$I$12:$I$83=$AD$23)*'Predictions &amp; Results'!$R$12:$R$83+('Predictions &amp; Results'!$J$12:$J$83=$AD$23)*'Predictions &amp; Results'!$S$12:$S$83))</f>
        <v>0</v>
      </c>
      <c r="AM23" s="179">
        <f>SUMPRODUCT(('Predictions &amp; Results'!$H$12:$H$83="GF")*'Predictions &amp; Results'!$T$12:$T$83*(('Predictions &amp; Results'!$I$12:$I$83=$AD$23)*'Predictions &amp; Results'!$S$12:$S$83+('Predictions &amp; Results'!$J$12:$J$83=$AD$23)*'Predictions &amp; Results'!$R$12:$R$83))</f>
        <v>0</v>
      </c>
      <c r="AN23" s="179">
        <f>AL23-AM23</f>
        <v>0</v>
      </c>
      <c r="AO23" s="179">
        <f>AI23*3+AJ23</f>
        <v>0</v>
      </c>
      <c r="AP23" s="222">
        <f>IF(SUM($AH$22:$AH$25)=0,0,1+((AO22&gt;AO23)+(AO22=AO23)*(AN22&gt;AN23)+(AO22=AO23)*(AN22=AN23)*(AL22&gt;AL23)+(AO22=AO23)*(AN22=AN23)*(AL22=AL23)*(22&lt;23))+((AO24&gt;AO23)+(AO24=AO23)*(AN24&gt;AN23)+(AO24=AO23)*(AN24=AN23)*(AL24&gt;AL23)+(AO24=AO23)*(AN24=AN23)*(AL24=AL23)*(24&lt;23))+((AO25&gt;AO23)+(AO25=AO23)*(AN25&gt;AN23)+(AO25=AO23)*(AN25=AN23)*(AL25&gt;AL23)+(AO25=AO23)*(AN25=AN23)*(AL25=AL23)*(25&lt;23)))</f>
        <v>0</v>
      </c>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row>
    <row r="24" spans="1:93" ht="15" customHeight="1">
      <c r="A24" s="34"/>
      <c r="B24" s="201"/>
      <c r="C24" s="212"/>
      <c r="D24" s="340" t="s">
        <v>32</v>
      </c>
      <c r="E24" s="341"/>
      <c r="F24" s="341"/>
      <c r="G24" s="342"/>
      <c r="H24" s="179">
        <f>SUMPRODUCT(('Predictions &amp; Results'!$H$12:$H$83="GD")*'Predictions &amp; Results'!$T$12:$T$83*(('Predictions &amp; Results'!$I$12:$I$83=$D$24)+('Predictions &amp; Results'!$J$12:$J$83=$D$24)))</f>
        <v>0</v>
      </c>
      <c r="I24" s="179">
        <f>SUMPRODUCT(('Predictions &amp; Results'!$H$12:$H$83="GD")*'Predictions &amp; Results'!$T$12:$T$83*(('Predictions &amp; Results'!$I$12:$I$83=$D$24)*('Predictions &amp; Results'!$R$12:$R$83&gt;'Predictions &amp; Results'!$S$12:$S$83)+('Predictions &amp; Results'!$J$12:$J$83=$D$24)*('Predictions &amp; Results'!$S$12:$S$83&gt;'Predictions &amp; Results'!$R$12:$R$83)))</f>
        <v>0</v>
      </c>
      <c r="J24" s="179">
        <f>SUMPRODUCT(('Predictions &amp; Results'!$H$12:$H$83="GD")*'Predictions &amp; Results'!$T$12:$T$83*(('Predictions &amp; Results'!$I$12:$I$83=$D$24)+('Predictions &amp; Results'!$J$12:$J$83=$D$24))*('Predictions &amp; Results'!$R$12:$R$83='Predictions &amp; Results'!$S$12:$S$83))</f>
        <v>0</v>
      </c>
      <c r="K24" s="179">
        <f>SUMPRODUCT(('Predictions &amp; Results'!$H$12:$H$83="GD")*'Predictions &amp; Results'!$T$12:$T$83*(('Predictions &amp; Results'!$I$12:$I$83=$D$24)*('Predictions &amp; Results'!$R$12:$R$83&lt;'Predictions &amp; Results'!$S$12:$S$83)+('Predictions &amp; Results'!$J$12:$J$83=$D$24)*('Predictions &amp; Results'!$S$12:$S$83&lt;'Predictions &amp; Results'!$R$12:$R$83)))</f>
        <v>0</v>
      </c>
      <c r="L24" s="179">
        <f>SUMPRODUCT(('Predictions &amp; Results'!$H$12:$H$83="GD")*'Predictions &amp; Results'!$T$12:$T$83*(('Predictions &amp; Results'!$I$12:$I$83=$D$24)*'Predictions &amp; Results'!$R$12:$R$83+('Predictions &amp; Results'!$J$12:$J$83=$D$24)*'Predictions &amp; Results'!$S$12:$S$83))</f>
        <v>0</v>
      </c>
      <c r="M24" s="179">
        <f>SUMPRODUCT(('Predictions &amp; Results'!$H$12:$H$83="GD")*'Predictions &amp; Results'!$T$12:$T$83*(('Predictions &amp; Results'!$I$12:$I$83=$D$24)*'Predictions &amp; Results'!$S$12:$S$83+('Predictions &amp; Results'!$J$12:$J$83=$D$24)*'Predictions &amp; Results'!$R$12:$R$83))</f>
        <v>0</v>
      </c>
      <c r="N24" s="179">
        <f>L24-M24</f>
        <v>0</v>
      </c>
      <c r="O24" s="179">
        <f>I24*3+J24</f>
        <v>0</v>
      </c>
      <c r="P24" s="91">
        <f>IF(SUM($H$22:$H$25)=0,0,1+((O22&gt;O24)+(O22=O24)*(N22&gt;N24)+(O22=O24)*(N22=N24)*(L22&gt;L24)+(O22=O24)*(N22=N24)*(L22=L24)*(22&lt;24))+((O23&gt;O24)+(O23=O24)*(N23&gt;N24)+(O23=O24)*(N23=N24)*(L23&gt;L24)+(O23=O24)*(N23=N24)*(L23=L24)*(23&lt;24))+((O25&gt;O24)+(O25=O24)*(N25&gt;N24)+(O25=O24)*(N25=N24)*(L25&gt;L24)+(O25=O24)*(N25=N24)*(L25=L24)*(25&lt;24)))</f>
        <v>0</v>
      </c>
      <c r="Q24" s="340" t="s">
        <v>43</v>
      </c>
      <c r="R24" s="341"/>
      <c r="S24" s="341"/>
      <c r="T24" s="342"/>
      <c r="U24" s="179">
        <f>SUMPRODUCT(('Predictions &amp; Results'!$H$12:$H$83="GE")*'Predictions &amp; Results'!$T$12:$T$83*(('Predictions &amp; Results'!$I$12:$I$83=$Q$24)+('Predictions &amp; Results'!$J$12:$J$83=$Q$24)))</f>
        <v>0</v>
      </c>
      <c r="V24" s="179">
        <f>SUMPRODUCT(('Predictions &amp; Results'!$H$12:$H$83="GE")*'Predictions &amp; Results'!$T$12:$T$83*(('Predictions &amp; Results'!$I$12:$I$83=$Q$24)*('Predictions &amp; Results'!$R$12:$R$83&gt;'Predictions &amp; Results'!$S$12:$S$83)+('Predictions &amp; Results'!$J$12:$J$83=$Q$24)*('Predictions &amp; Results'!$S$12:$S$83&gt;'Predictions &amp; Results'!$R$12:$R$83)))</f>
        <v>0</v>
      </c>
      <c r="W24" s="179">
        <f>SUMPRODUCT(('Predictions &amp; Results'!$H$12:$H$83="GE")*'Predictions &amp; Results'!$T$12:$T$83*(('Predictions &amp; Results'!$I$12:$I$83=$Q$24)+('Predictions &amp; Results'!$J$12:$J$83=$Q$24))*('Predictions &amp; Results'!$R$12:$R$83='Predictions &amp; Results'!$S$12:$S$83))</f>
        <v>0</v>
      </c>
      <c r="X24" s="179">
        <f>SUMPRODUCT(('Predictions &amp; Results'!$H$12:$H$83="GE")*'Predictions &amp; Results'!$T$12:$T$83*(('Predictions &amp; Results'!$I$12:$I$83=$Q$24)*('Predictions &amp; Results'!$R$12:$R$83&lt;'Predictions &amp; Results'!$S$12:$S$83)+('Predictions &amp; Results'!$J$12:$J$83=$Q$24)*('Predictions &amp; Results'!$S$12:$S$83&lt;'Predictions &amp; Results'!$R$12:$R$83)))</f>
        <v>0</v>
      </c>
      <c r="Y24" s="179">
        <f>SUMPRODUCT(('Predictions &amp; Results'!$H$12:$H$83="GE")*'Predictions &amp; Results'!$T$12:$T$83*(('Predictions &amp; Results'!$I$12:$I$83=$Q$24)*'Predictions &amp; Results'!$R$12:$R$83+('Predictions &amp; Results'!$J$12:$J$83=$Q$24)*'Predictions &amp; Results'!$S$12:$S$83))</f>
        <v>0</v>
      </c>
      <c r="Z24" s="179">
        <f>SUMPRODUCT(('Predictions &amp; Results'!$H$12:$H$83="GE")*'Predictions &amp; Results'!$T$12:$T$83*(('Predictions &amp; Results'!$I$12:$I$83=$Q$24)*'Predictions &amp; Results'!$S$12:$S$83+('Predictions &amp; Results'!$J$12:$J$83=$Q$24)*'Predictions &amp; Results'!$R$12:$R$83))</f>
        <v>0</v>
      </c>
      <c r="AA24" s="179">
        <f>Y24-Z24</f>
        <v>0</v>
      </c>
      <c r="AB24" s="179">
        <f>V24*3+W24</f>
        <v>0</v>
      </c>
      <c r="AC24" s="91">
        <f>IF(SUM($U$22:$U$25)=0,0,1+((AB22&gt;AB24)+(AB22=AB24)*(AA22&gt;AA24)+(AB22=AB24)*(AA22=AA24)*(Y22&gt;Y24)+(AB22=AB24)*(AA22=AA24)*(Y22=Y24)*(22&lt;24))+((AB23&gt;AB24)+(AB23=AB24)*(AA23&gt;AA24)+(AB23=AB24)*(AA23=AA24)*(Y23&gt;Y24)+(AB23=AB24)*(AA23=AA24)*(Y23=Y24)*(23&lt;24))+((AB25&gt;AB24)+(AB25=AB24)*(AA25&gt;AA24)+(AB25=AB24)*(AA25=AA24)*(Y25&gt;Y24)+(AB25=AB24)*(AA25=AA24)*(Y25=Y24)*(25&lt;24)))</f>
        <v>0</v>
      </c>
      <c r="AD24" s="340" t="s">
        <v>46</v>
      </c>
      <c r="AE24" s="341"/>
      <c r="AF24" s="341"/>
      <c r="AG24" s="342"/>
      <c r="AH24" s="179">
        <f>SUMPRODUCT(('Predictions &amp; Results'!$H$12:$H$83="GF")*'Predictions &amp; Results'!$T$12:$T$83*(('Predictions &amp; Results'!$I$12:$I$83=$AD$24)+('Predictions &amp; Results'!$J$12:$J$83=$AD$24)))</f>
        <v>0</v>
      </c>
      <c r="AI24" s="179">
        <f>SUMPRODUCT(('Predictions &amp; Results'!$H$12:$H$83="GF")*'Predictions &amp; Results'!$T$12:$T$83*(('Predictions &amp; Results'!$I$12:$I$83=$AD$24)*('Predictions &amp; Results'!$R$12:$R$83&gt;'Predictions &amp; Results'!$S$12:$S$83)+('Predictions &amp; Results'!$J$12:$J$83=$AD$24)*('Predictions &amp; Results'!$S$12:$S$83&gt;'Predictions &amp; Results'!$R$12:$R$83)))</f>
        <v>0</v>
      </c>
      <c r="AJ24" s="179">
        <f>SUMPRODUCT(('Predictions &amp; Results'!$H$12:$H$83="GF")*'Predictions &amp; Results'!$T$12:$T$83*(('Predictions &amp; Results'!$I$12:$I$83=$AD$24)+('Predictions &amp; Results'!$J$12:$J$83=$AD$24))*('Predictions &amp; Results'!$R$12:$R$83='Predictions &amp; Results'!$S$12:$S$83))</f>
        <v>0</v>
      </c>
      <c r="AK24" s="179">
        <f>SUMPRODUCT(('Predictions &amp; Results'!$H$12:$H$83="GF")*'Predictions &amp; Results'!$T$12:$T$83*(('Predictions &amp; Results'!$I$12:$I$83=$AD$24)*('Predictions &amp; Results'!$R$12:$R$83&lt;'Predictions &amp; Results'!$S$12:$S$83)+('Predictions &amp; Results'!$J$12:$J$83=$AD$24)*('Predictions &amp; Results'!$S$12:$S$83&lt;'Predictions &amp; Results'!$R$12:$R$83)))</f>
        <v>0</v>
      </c>
      <c r="AL24" s="179">
        <f>SUMPRODUCT(('Predictions &amp; Results'!$H$12:$H$83="GF")*'Predictions &amp; Results'!$T$12:$T$83*(('Predictions &amp; Results'!$I$12:$I$83=$AD$24)*'Predictions &amp; Results'!$R$12:$R$83+('Predictions &amp; Results'!$J$12:$J$83=$AD$24)*'Predictions &amp; Results'!$S$12:$S$83))</f>
        <v>0</v>
      </c>
      <c r="AM24" s="179">
        <f>SUMPRODUCT(('Predictions &amp; Results'!$H$12:$H$83="GF")*'Predictions &amp; Results'!$T$12:$T$83*(('Predictions &amp; Results'!$I$12:$I$83=$AD$24)*'Predictions &amp; Results'!$S$12:$S$83+('Predictions &amp; Results'!$J$12:$J$83=$AD$24)*'Predictions &amp; Results'!$R$12:$R$83))</f>
        <v>0</v>
      </c>
      <c r="AN24" s="179">
        <f>AL24-AM24</f>
        <v>0</v>
      </c>
      <c r="AO24" s="179">
        <f>AI24*3+AJ24</f>
        <v>0</v>
      </c>
      <c r="AP24" s="222">
        <f>IF(SUM($AH$22:$AH$25)=0,0,1+((AO22&gt;AO24)+(AO22=AO24)*(AN22&gt;AN24)+(AO22=AO24)*(AN22=AN24)*(AL22&gt;AL24)+(AO22=AO24)*(AN22=AN24)*(AL22=AL24)*(22&lt;24))+((AO23&gt;AO24)+(AO23=AO24)*(AN23&gt;AN24)+(AO23=AO24)*(AN23=AN24)*(AL23&gt;AL24)+(AO23=AO24)*(AN23=AN24)*(AL23=AL24)*(23&lt;24))+((AO25&gt;AO24)+(AO25=AO24)*(AN25&gt;AN24)+(AO25=AO24)*(AN25=AN24)*(AL25&gt;AL24)+(AO25=AO24)*(AN25=AN24)*(AL25=AL24)*(25&lt;24)))</f>
        <v>0</v>
      </c>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row>
    <row r="25" spans="1:93" ht="15" customHeight="1">
      <c r="A25" s="34"/>
      <c r="B25" s="201"/>
      <c r="C25" s="212"/>
      <c r="D25" s="340" t="s">
        <v>33</v>
      </c>
      <c r="E25" s="341"/>
      <c r="F25" s="341"/>
      <c r="G25" s="342"/>
      <c r="H25" s="179">
        <f>SUMPRODUCT(('Predictions &amp; Results'!$H$12:$H$83="GD")*'Predictions &amp; Results'!$T$12:$T$83*(('Predictions &amp; Results'!$I$12:$I$83=$D$25)+('Predictions &amp; Results'!$J$12:$J$83=$D$25)))</f>
        <v>0</v>
      </c>
      <c r="I25" s="179">
        <f>SUMPRODUCT(('Predictions &amp; Results'!$H$12:$H$83="GD")*'Predictions &amp; Results'!$T$12:$T$83*(('Predictions &amp; Results'!$I$12:$I$83=$D$25)*('Predictions &amp; Results'!$R$12:$R$83&gt;'Predictions &amp; Results'!$S$12:$S$83)+('Predictions &amp; Results'!$J$12:$J$83=$D$25)*('Predictions &amp; Results'!$S$12:$S$83&gt;'Predictions &amp; Results'!$R$12:$R$83)))</f>
        <v>0</v>
      </c>
      <c r="J25" s="179">
        <f>SUMPRODUCT(('Predictions &amp; Results'!$H$12:$H$83="GD")*'Predictions &amp; Results'!$T$12:$T$83*(('Predictions &amp; Results'!$I$12:$I$83=$D$25)+('Predictions &amp; Results'!$J$12:$J$83=$D$25))*('Predictions &amp; Results'!$R$12:$R$83='Predictions &amp; Results'!$S$12:$S$83))</f>
        <v>0</v>
      </c>
      <c r="K25" s="179">
        <f>SUMPRODUCT(('Predictions &amp; Results'!$H$12:$H$83="GD")*'Predictions &amp; Results'!$T$12:$T$83*(('Predictions &amp; Results'!$I$12:$I$83=$D$25)*('Predictions &amp; Results'!$R$12:$R$83&lt;'Predictions &amp; Results'!$S$12:$S$83)+('Predictions &amp; Results'!$J$12:$J$83=$D$25)*('Predictions &amp; Results'!$S$12:$S$83&lt;'Predictions &amp; Results'!$R$12:$R$83)))</f>
        <v>0</v>
      </c>
      <c r="L25" s="179">
        <f>SUMPRODUCT(('Predictions &amp; Results'!$H$12:$H$83="GD")*'Predictions &amp; Results'!$T$12:$T$83*(('Predictions &amp; Results'!$I$12:$I$83=$D$25)*'Predictions &amp; Results'!$R$12:$R$83+('Predictions &amp; Results'!$J$12:$J$83=$D$25)*'Predictions &amp; Results'!$S$12:$S$83))</f>
        <v>0</v>
      </c>
      <c r="M25" s="179">
        <f>SUMPRODUCT(('Predictions &amp; Results'!$H$12:$H$83="GD")*'Predictions &amp; Results'!$T$12:$T$83*(('Predictions &amp; Results'!$I$12:$I$83=$D$25)*'Predictions &amp; Results'!$S$12:$S$83+('Predictions &amp; Results'!$J$12:$J$83=$D$25)*'Predictions &amp; Results'!$R$12:$R$83))</f>
        <v>0</v>
      </c>
      <c r="N25" s="179">
        <f>L25-M25</f>
        <v>0</v>
      </c>
      <c r="O25" s="179">
        <f>I25*3+J25</f>
        <v>0</v>
      </c>
      <c r="P25" s="91">
        <f>IF(SUM($H$22:$H$25)=0,0,1+((O22&gt;O25)+(O22=O25)*(N22&gt;N25)+(O22=O25)*(N22=N25)*(L22&gt;L25)+(O22=O25)*(N22=N25)*(L22=L25)*(22&lt;25))+((O23&gt;O25)+(O23=O25)*(N23&gt;N25)+(O23=O25)*(N23=N25)*(L23&gt;L25)+(O23=O25)*(N23=N25)*(L23=L25)*(23&lt;25))+((O24&gt;O25)+(O24=O25)*(N24&gt;N25)+(O24=O25)*(N24=N25)*(L24&gt;L25)+(O24=O25)*(N24=N25)*(L24=L25)*(24&lt;25)))</f>
        <v>0</v>
      </c>
      <c r="Q25" s="340" t="s">
        <v>44</v>
      </c>
      <c r="R25" s="341"/>
      <c r="S25" s="341"/>
      <c r="T25" s="342"/>
      <c r="U25" s="179">
        <f>SUMPRODUCT(('Predictions &amp; Results'!$H$12:$H$83="GE")*'Predictions &amp; Results'!$T$12:$T$83*(('Predictions &amp; Results'!$I$12:$I$83=$Q$25)+('Predictions &amp; Results'!$J$12:$J$83=$Q$25)))</f>
        <v>0</v>
      </c>
      <c r="V25" s="179">
        <f>SUMPRODUCT(('Predictions &amp; Results'!$H$12:$H$83="GE")*'Predictions &amp; Results'!$T$12:$T$83*(('Predictions &amp; Results'!$I$12:$I$83=$Q$25)*('Predictions &amp; Results'!$R$12:$R$83&gt;'Predictions &amp; Results'!$S$12:$S$83)+('Predictions &amp; Results'!$J$12:$J$83=$Q$25)*('Predictions &amp; Results'!$S$12:$S$83&gt;'Predictions &amp; Results'!$R$12:$R$83)))</f>
        <v>0</v>
      </c>
      <c r="W25" s="179">
        <f>SUMPRODUCT(('Predictions &amp; Results'!$H$12:$H$83="GE")*'Predictions &amp; Results'!$T$12:$T$83*(('Predictions &amp; Results'!$I$12:$I$83=$Q$25)+('Predictions &amp; Results'!$J$12:$J$83=$Q$25))*('Predictions &amp; Results'!$R$12:$R$83='Predictions &amp; Results'!$S$12:$S$83))</f>
        <v>0</v>
      </c>
      <c r="X25" s="179">
        <f>SUMPRODUCT(('Predictions &amp; Results'!$H$12:$H$83="GE")*'Predictions &amp; Results'!$T$12:$T$83*(('Predictions &amp; Results'!$I$12:$I$83=$Q$25)*('Predictions &amp; Results'!$R$12:$R$83&lt;'Predictions &amp; Results'!$S$12:$S$83)+('Predictions &amp; Results'!$J$12:$J$83=$Q$25)*('Predictions &amp; Results'!$S$12:$S$83&lt;'Predictions &amp; Results'!$R$12:$R$83)))</f>
        <v>0</v>
      </c>
      <c r="Y25" s="179">
        <f>SUMPRODUCT(('Predictions &amp; Results'!$H$12:$H$83="GE")*'Predictions &amp; Results'!$T$12:$T$83*(('Predictions &amp; Results'!$I$12:$I$83=$Q$25)*'Predictions &amp; Results'!$R$12:$R$83+('Predictions &amp; Results'!$J$12:$J$83=$Q$25)*'Predictions &amp; Results'!$S$12:$S$83))</f>
        <v>0</v>
      </c>
      <c r="Z25" s="179">
        <f>SUMPRODUCT(('Predictions &amp; Results'!$H$12:$H$83="GE")*'Predictions &amp; Results'!$T$12:$T$83*(('Predictions &amp; Results'!$I$12:$I$83=$Q$25)*'Predictions &amp; Results'!$S$12:$S$83+('Predictions &amp; Results'!$J$12:$J$83=$Q$25)*'Predictions &amp; Results'!$R$12:$R$83))</f>
        <v>0</v>
      </c>
      <c r="AA25" s="179">
        <f>Y25-Z25</f>
        <v>0</v>
      </c>
      <c r="AB25" s="179">
        <f>V25*3+W25</f>
        <v>0</v>
      </c>
      <c r="AC25" s="91">
        <f>IF(SUM($U$22:$U$25)=0,0,1+((AB22&gt;AB25)+(AB22=AB25)*(AA22&gt;AA25)+(AB22=AB25)*(AA22=AA25)*(Y22&gt;Y25)+(AB22=AB25)*(AA22=AA25)*(Y22=Y25)*(22&lt;25))+((AB23&gt;AB25)+(AB23=AB25)*(AA23&gt;AA25)+(AB23=AB25)*(AA23=AA25)*(Y23&gt;Y25)+(AB23=AB25)*(AA23=AA25)*(Y23=Y25)*(23&lt;25))+((AB24&gt;AB25)+(AB24=AB25)*(AA24&gt;AA25)+(AB24=AB25)*(AA24=AA25)*(Y24&gt;Y25)+(AB24=AB25)*(AA24=AA25)*(Y24=Y25)*(24&lt;25)))</f>
        <v>0</v>
      </c>
      <c r="AD25" s="340" t="s">
        <v>47</v>
      </c>
      <c r="AE25" s="341"/>
      <c r="AF25" s="341"/>
      <c r="AG25" s="342"/>
      <c r="AH25" s="179">
        <f>SUMPRODUCT(('Predictions &amp; Results'!$H$12:$H$83="GF")*'Predictions &amp; Results'!$T$12:$T$83*(('Predictions &amp; Results'!$I$12:$I$83=$AD$25)+('Predictions &amp; Results'!$J$12:$J$83=$AD$25)))</f>
        <v>0</v>
      </c>
      <c r="AI25" s="179">
        <f>SUMPRODUCT(('Predictions &amp; Results'!$H$12:$H$83="GF")*'Predictions &amp; Results'!$T$12:$T$83*(('Predictions &amp; Results'!$I$12:$I$83=$AD$25)*('Predictions &amp; Results'!$R$12:$R$83&gt;'Predictions &amp; Results'!$S$12:$S$83)+('Predictions &amp; Results'!$J$12:$J$83=$AD$25)*('Predictions &amp; Results'!$S$12:$S$83&gt;'Predictions &amp; Results'!$R$12:$R$83)))</f>
        <v>0</v>
      </c>
      <c r="AJ25" s="179">
        <f>SUMPRODUCT(('Predictions &amp; Results'!$H$12:$H$83="GF")*'Predictions &amp; Results'!$T$12:$T$83*(('Predictions &amp; Results'!$I$12:$I$83=$AD$25)+('Predictions &amp; Results'!$J$12:$J$83=$AD$25))*('Predictions &amp; Results'!$R$12:$R$83='Predictions &amp; Results'!$S$12:$S$83))</f>
        <v>0</v>
      </c>
      <c r="AK25" s="179">
        <f>SUMPRODUCT(('Predictions &amp; Results'!$H$12:$H$83="GF")*'Predictions &amp; Results'!$T$12:$T$83*(('Predictions &amp; Results'!$I$12:$I$83=$AD$25)*('Predictions &amp; Results'!$R$12:$R$83&lt;'Predictions &amp; Results'!$S$12:$S$83)+('Predictions &amp; Results'!$J$12:$J$83=$AD$25)*('Predictions &amp; Results'!$S$12:$S$83&lt;'Predictions &amp; Results'!$R$12:$R$83)))</f>
        <v>0</v>
      </c>
      <c r="AL25" s="179">
        <f>SUMPRODUCT(('Predictions &amp; Results'!$H$12:$H$83="GF")*'Predictions &amp; Results'!$T$12:$T$83*(('Predictions &amp; Results'!$I$12:$I$83=$AD$25)*'Predictions &amp; Results'!$R$12:$R$83+('Predictions &amp; Results'!$J$12:$J$83=$AD$25)*'Predictions &amp; Results'!$S$12:$S$83))</f>
        <v>0</v>
      </c>
      <c r="AM25" s="179">
        <f>SUMPRODUCT(('Predictions &amp; Results'!$H$12:$H$83="GF")*'Predictions &amp; Results'!$T$12:$T$83*(('Predictions &amp; Results'!$I$12:$I$83=$AD$25)*'Predictions &amp; Results'!$S$12:$S$83+('Predictions &amp; Results'!$J$12:$J$83=$AD$25)*'Predictions &amp; Results'!$R$12:$R$83))</f>
        <v>0</v>
      </c>
      <c r="AN25" s="179">
        <f>AL25-AM25</f>
        <v>0</v>
      </c>
      <c r="AO25" s="179">
        <f>AI25*3+AJ25</f>
        <v>0</v>
      </c>
      <c r="AP25" s="222">
        <f>IF(SUM($AH$22:$AH$25)=0,0,1+((AO22&gt;AO25)+(AO22=AO25)*(AN22&gt;AN25)+(AO22=AO25)*(AN22=AN25)*(AL22&gt;AL25)+(AO22=AO25)*(AN22=AN25)*(AL22=AL25)*(22&lt;25))+((AO23&gt;AO25)+(AO23=AO25)*(AN23&gt;AN25)+(AO23=AO25)*(AN23=AN25)*(AL23&gt;AL25)+(AO23=AO25)*(AN23=AN25)*(AL23=AL25)*(23&lt;25))+((AO24&gt;AO25)+(AO24=AO25)*(AN24&gt;AN25)+(AO24=AO25)*(AN24=AN25)*(AL24&gt;AL25)+(AO24=AO25)*(AN24=AN25)*(AL24=AL25)*(24&lt;25)))</f>
        <v>0</v>
      </c>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row>
    <row r="26" spans="1:93" ht="15" customHeight="1">
      <c r="A26" s="34"/>
      <c r="B26" s="201"/>
      <c r="C26" s="212"/>
      <c r="D26" s="92"/>
      <c r="E26" s="92"/>
      <c r="F26" s="92"/>
      <c r="G26" s="92"/>
      <c r="H26" s="92"/>
      <c r="I26" s="92"/>
      <c r="J26" s="92"/>
      <c r="K26" s="92"/>
      <c r="L26" s="92"/>
      <c r="M26" s="92"/>
      <c r="N26" s="92"/>
      <c r="O26" s="92"/>
      <c r="P26" s="88"/>
      <c r="Q26" s="92"/>
      <c r="R26" s="92"/>
      <c r="S26" s="92"/>
      <c r="T26" s="92"/>
      <c r="U26" s="92"/>
      <c r="V26" s="92"/>
      <c r="W26" s="92"/>
      <c r="X26" s="92"/>
      <c r="Y26" s="92"/>
      <c r="Z26" s="92"/>
      <c r="AA26" s="92"/>
      <c r="AB26" s="92"/>
      <c r="AC26" s="88"/>
      <c r="AD26" s="92"/>
      <c r="AE26" s="92"/>
      <c r="AF26" s="92"/>
      <c r="AG26" s="92"/>
      <c r="AH26" s="92"/>
      <c r="AI26" s="92"/>
      <c r="AJ26" s="92"/>
      <c r="AK26" s="92"/>
      <c r="AL26" s="92"/>
      <c r="AM26" s="92"/>
      <c r="AN26" s="92"/>
      <c r="AO26" s="92"/>
      <c r="AP26" s="220"/>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row>
    <row r="27" spans="1:93" ht="9" customHeight="1">
      <c r="A27" s="34"/>
      <c r="B27" s="201"/>
      <c r="C27" s="212"/>
      <c r="D27" s="92"/>
      <c r="E27" s="92"/>
      <c r="F27" s="92"/>
      <c r="G27" s="92"/>
      <c r="H27" s="92"/>
      <c r="I27" s="92"/>
      <c r="J27" s="92"/>
      <c r="K27" s="92"/>
      <c r="L27" s="92"/>
      <c r="M27" s="92"/>
      <c r="N27" s="92"/>
      <c r="O27" s="92"/>
      <c r="P27" s="88"/>
      <c r="Q27" s="92"/>
      <c r="R27" s="92"/>
      <c r="S27" s="92"/>
      <c r="T27" s="92"/>
      <c r="U27" s="92"/>
      <c r="V27" s="92"/>
      <c r="W27" s="92"/>
      <c r="X27" s="92"/>
      <c r="Y27" s="92"/>
      <c r="Z27" s="92"/>
      <c r="AA27" s="92"/>
      <c r="AB27" s="92"/>
      <c r="AC27" s="88"/>
      <c r="AD27" s="92"/>
      <c r="AE27" s="92"/>
      <c r="AF27" s="92"/>
      <c r="AG27" s="92"/>
      <c r="AH27" s="92"/>
      <c r="AI27" s="92"/>
      <c r="AJ27" s="92"/>
      <c r="AK27" s="92"/>
      <c r="AL27" s="92"/>
      <c r="AM27" s="92"/>
      <c r="AN27" s="92"/>
      <c r="AO27" s="92"/>
      <c r="AP27" s="220"/>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row>
    <row r="28" spans="1:93" ht="9" customHeight="1">
      <c r="A28" s="34"/>
      <c r="B28" s="201"/>
      <c r="C28" s="212"/>
      <c r="D28" s="92"/>
      <c r="E28" s="92"/>
      <c r="F28" s="92"/>
      <c r="G28" s="92"/>
      <c r="H28" s="92"/>
      <c r="I28" s="92"/>
      <c r="J28" s="92"/>
      <c r="K28" s="92"/>
      <c r="L28" s="92"/>
      <c r="M28" s="92"/>
      <c r="N28" s="92"/>
      <c r="O28" s="92"/>
      <c r="P28" s="88"/>
      <c r="Q28" s="92"/>
      <c r="R28" s="92"/>
      <c r="S28" s="92"/>
      <c r="T28" s="92"/>
      <c r="U28" s="92"/>
      <c r="V28" s="92"/>
      <c r="W28" s="92"/>
      <c r="X28" s="92"/>
      <c r="Y28" s="92"/>
      <c r="Z28" s="92"/>
      <c r="AA28" s="92"/>
      <c r="AB28" s="92"/>
      <c r="AC28" s="88"/>
      <c r="AD28" s="92"/>
      <c r="AE28" s="92"/>
      <c r="AF28" s="92"/>
      <c r="AG28" s="92"/>
      <c r="AH28" s="92"/>
      <c r="AI28" s="92"/>
      <c r="AJ28" s="92"/>
      <c r="AK28" s="92"/>
      <c r="AL28" s="92"/>
      <c r="AM28" s="92"/>
      <c r="AN28" s="92"/>
      <c r="AO28" s="92"/>
      <c r="AP28" s="220"/>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row>
    <row r="29" spans="1:93" ht="16.5" customHeight="1">
      <c r="A29" s="34"/>
      <c r="B29" s="201"/>
      <c r="C29" s="212"/>
      <c r="D29" s="343" t="str">
        <f>VLOOKUP("group_prefix",langTable,MATCH(langName,_lang!$A$1:$F$1,0),FALSE())&amp;" G"</f>
        <v>GROUP G</v>
      </c>
      <c r="E29" s="267"/>
      <c r="F29" s="267"/>
      <c r="G29" s="267"/>
      <c r="H29" s="267"/>
      <c r="I29" s="267"/>
      <c r="J29" s="267"/>
      <c r="K29" s="267"/>
      <c r="L29" s="267"/>
      <c r="M29" s="267"/>
      <c r="N29" s="267"/>
      <c r="O29" s="267"/>
      <c r="P29" s="88"/>
      <c r="Q29" s="343" t="str">
        <f>VLOOKUP("group_prefix",langTable,MATCH(langName,_lang!$A$1:$F$1,0),FALSE())&amp;" H"</f>
        <v>GROUP H</v>
      </c>
      <c r="R29" s="267"/>
      <c r="S29" s="267"/>
      <c r="T29" s="267"/>
      <c r="U29" s="267"/>
      <c r="V29" s="267"/>
      <c r="W29" s="267"/>
      <c r="X29" s="267"/>
      <c r="Y29" s="267"/>
      <c r="Z29" s="267"/>
      <c r="AA29" s="267"/>
      <c r="AB29" s="267"/>
      <c r="AC29" s="88"/>
      <c r="AD29" s="343" t="str">
        <f>VLOOKUP("group_prefix",langTable,MATCH(langName,_lang!$A$1:$F$1,0),FALSE())&amp;" I"</f>
        <v>GROUP I</v>
      </c>
      <c r="AE29" s="267"/>
      <c r="AF29" s="267"/>
      <c r="AG29" s="267"/>
      <c r="AH29" s="267"/>
      <c r="AI29" s="267"/>
      <c r="AJ29" s="267"/>
      <c r="AK29" s="267"/>
      <c r="AL29" s="267"/>
      <c r="AM29" s="267"/>
      <c r="AN29" s="267"/>
      <c r="AO29" s="267"/>
      <c r="AP29" s="220"/>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row>
    <row r="30" spans="1:93" ht="15" customHeight="1">
      <c r="A30" s="34"/>
      <c r="B30" s="201"/>
      <c r="C30" s="212"/>
      <c r="D30" s="344" t="str">
        <f>VLOOKUP("hdr_team_uc",langTable,MATCH(langName,_lang!$A$1:$F$1,0),FALSE())</f>
        <v>TEAM</v>
      </c>
      <c r="E30" s="341"/>
      <c r="F30" s="341"/>
      <c r="G30" s="342"/>
      <c r="H30" s="90" t="str">
        <f>VLOOKUP("hdr_p",langTable,MATCH(langName,_lang!$A$1:$F$1,0),FALSE())</f>
        <v>P</v>
      </c>
      <c r="I30" s="90" t="str">
        <f>VLOOKUP("hdr_w",langTable,MATCH(langName,_lang!$A$1:$F$1,0),FALSE())</f>
        <v>W</v>
      </c>
      <c r="J30" s="90" t="str">
        <f>VLOOKUP("hdr_d",langTable,MATCH(langName,_lang!$A$1:$F$1,0),FALSE())</f>
        <v>D</v>
      </c>
      <c r="K30" s="90" t="str">
        <f>VLOOKUP("hdr_l",langTable,MATCH(langName,_lang!$A$1:$F$1,0),FALSE())</f>
        <v>L</v>
      </c>
      <c r="L30" s="90" t="str">
        <f>VLOOKUP("hdr_gf",langTable,MATCH(langName,_lang!$A$1:$F$1,0),FALSE())</f>
        <v>GF</v>
      </c>
      <c r="M30" s="90" t="str">
        <f>VLOOKUP("hdr_ga",langTable,MATCH(langName,_lang!$A$1:$F$1,0),FALSE())</f>
        <v>GA</v>
      </c>
      <c r="N30" s="90" t="str">
        <f>VLOOKUP("hdr_gd",langTable,MATCH(langName,_lang!$A$1:$F$1,0),FALSE())</f>
        <v>GD</v>
      </c>
      <c r="O30" s="90" t="str">
        <f>VLOOKUP("hdr_pts",langTable,MATCH(langName,_lang!$A$1:$F$1,0),FALSE())</f>
        <v>Pts</v>
      </c>
      <c r="P30" s="88"/>
      <c r="Q30" s="344" t="str">
        <f>VLOOKUP("hdr_team_uc",langTable,MATCH(langName,_lang!$A$1:$F$1,0),FALSE())</f>
        <v>TEAM</v>
      </c>
      <c r="R30" s="341"/>
      <c r="S30" s="341"/>
      <c r="T30" s="342"/>
      <c r="U30" s="90" t="str">
        <f>VLOOKUP("hdr_p",langTable,MATCH(langName,_lang!$A$1:$F$1,0),FALSE())</f>
        <v>P</v>
      </c>
      <c r="V30" s="90" t="str">
        <f>VLOOKUP("hdr_w",langTable,MATCH(langName,_lang!$A$1:$F$1,0),FALSE())</f>
        <v>W</v>
      </c>
      <c r="W30" s="90" t="str">
        <f>VLOOKUP("hdr_d",langTable,MATCH(langName,_lang!$A$1:$F$1,0),FALSE())</f>
        <v>D</v>
      </c>
      <c r="X30" s="90" t="str">
        <f>VLOOKUP("hdr_l",langTable,MATCH(langName,_lang!$A$1:$F$1,0),FALSE())</f>
        <v>L</v>
      </c>
      <c r="Y30" s="90" t="str">
        <f>VLOOKUP("hdr_gf",langTable,MATCH(langName,_lang!$A$1:$F$1,0),FALSE())</f>
        <v>GF</v>
      </c>
      <c r="Z30" s="90" t="str">
        <f>VLOOKUP("hdr_ga",langTable,MATCH(langName,_lang!$A$1:$F$1,0),FALSE())</f>
        <v>GA</v>
      </c>
      <c r="AA30" s="90" t="str">
        <f>VLOOKUP("hdr_gd",langTable,MATCH(langName,_lang!$A$1:$F$1,0),FALSE())</f>
        <v>GD</v>
      </c>
      <c r="AB30" s="90" t="str">
        <f>VLOOKUP("hdr_pts",langTable,MATCH(langName,_lang!$A$1:$F$1,0),FALSE())</f>
        <v>Pts</v>
      </c>
      <c r="AC30" s="88"/>
      <c r="AD30" s="344" t="str">
        <f>VLOOKUP("hdr_team_uc",langTable,MATCH(langName,_lang!$A$1:$F$1,0),FALSE())</f>
        <v>TEAM</v>
      </c>
      <c r="AE30" s="341"/>
      <c r="AF30" s="341"/>
      <c r="AG30" s="342"/>
      <c r="AH30" s="90" t="str">
        <f>VLOOKUP("hdr_p",langTable,MATCH(langName,_lang!$A$1:$F$1,0),FALSE())</f>
        <v>P</v>
      </c>
      <c r="AI30" s="90" t="str">
        <f>VLOOKUP("hdr_w",langTable,MATCH(langName,_lang!$A$1:$F$1,0),FALSE())</f>
        <v>W</v>
      </c>
      <c r="AJ30" s="90" t="str">
        <f>VLOOKUP("hdr_d",langTable,MATCH(langName,_lang!$A$1:$F$1,0),FALSE())</f>
        <v>D</v>
      </c>
      <c r="AK30" s="90" t="str">
        <f>VLOOKUP("hdr_l",langTable,MATCH(langName,_lang!$A$1:$F$1,0),FALSE())</f>
        <v>L</v>
      </c>
      <c r="AL30" s="90" t="str">
        <f>VLOOKUP("hdr_gf",langTable,MATCH(langName,_lang!$A$1:$F$1,0),FALSE())</f>
        <v>GF</v>
      </c>
      <c r="AM30" s="90" t="str">
        <f>VLOOKUP("hdr_ga",langTable,MATCH(langName,_lang!$A$1:$F$1,0),FALSE())</f>
        <v>GA</v>
      </c>
      <c r="AN30" s="90" t="str">
        <f>VLOOKUP("hdr_gd",langTable,MATCH(langName,_lang!$A$1:$F$1,0),FALSE())</f>
        <v>GD</v>
      </c>
      <c r="AO30" s="90" t="str">
        <f>VLOOKUP("hdr_pts",langTable,MATCH(langName,_lang!$A$1:$F$1,0),FALSE())</f>
        <v>Pts</v>
      </c>
      <c r="AP30" s="220"/>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row>
    <row r="31" spans="1:93" ht="15" customHeight="1">
      <c r="A31" s="34"/>
      <c r="B31" s="201"/>
      <c r="C31" s="212"/>
      <c r="D31" s="340" t="s">
        <v>54</v>
      </c>
      <c r="E31" s="341"/>
      <c r="F31" s="341"/>
      <c r="G31" s="342"/>
      <c r="H31" s="179">
        <f>SUMPRODUCT(('Predictions &amp; Results'!$H$12:$H$83="GG")*'Predictions &amp; Results'!$T$12:$T$83*(('Predictions &amp; Results'!$I$12:$I$83=$D$31)+('Predictions &amp; Results'!$J$12:$J$83=$D$31)))</f>
        <v>0</v>
      </c>
      <c r="I31" s="179">
        <f>SUMPRODUCT(('Predictions &amp; Results'!$H$12:$H$83="GG")*'Predictions &amp; Results'!$T$12:$T$83*(('Predictions &amp; Results'!$I$12:$I$83=$D$31)*('Predictions &amp; Results'!$R$12:$R$83&gt;'Predictions &amp; Results'!$S$12:$S$83)+('Predictions &amp; Results'!$J$12:$J$83=$D$31)*('Predictions &amp; Results'!$S$12:$S$83&gt;'Predictions &amp; Results'!$R$12:$R$83)))</f>
        <v>0</v>
      </c>
      <c r="J31" s="179">
        <f>SUMPRODUCT(('Predictions &amp; Results'!$H$12:$H$83="GG")*'Predictions &amp; Results'!$T$12:$T$83*(('Predictions &amp; Results'!$I$12:$I$83=$D$31)+('Predictions &amp; Results'!$J$12:$J$83=$D$31))*('Predictions &amp; Results'!$R$12:$R$83='Predictions &amp; Results'!$S$12:$S$83))</f>
        <v>0</v>
      </c>
      <c r="K31" s="179">
        <f>SUMPRODUCT(('Predictions &amp; Results'!$H$12:$H$83="GG")*'Predictions &amp; Results'!$T$12:$T$83*(('Predictions &amp; Results'!$I$12:$I$83=$D$31)*('Predictions &amp; Results'!$R$12:$R$83&lt;'Predictions &amp; Results'!$S$12:$S$83)+('Predictions &amp; Results'!$J$12:$J$83=$D$31)*('Predictions &amp; Results'!$S$12:$S$83&lt;'Predictions &amp; Results'!$R$12:$R$83)))</f>
        <v>0</v>
      </c>
      <c r="L31" s="179">
        <f>SUMPRODUCT(('Predictions &amp; Results'!$H$12:$H$83="GG")*'Predictions &amp; Results'!$T$12:$T$83*(('Predictions &amp; Results'!$I$12:$I$83=$D$31)*'Predictions &amp; Results'!$R$12:$R$83+('Predictions &amp; Results'!$J$12:$J$83=$D$31)*'Predictions &amp; Results'!$S$12:$S$83))</f>
        <v>0</v>
      </c>
      <c r="M31" s="179">
        <f>SUMPRODUCT(('Predictions &amp; Results'!$H$12:$H$83="GG")*'Predictions &amp; Results'!$T$12:$T$83*(('Predictions &amp; Results'!$I$12:$I$83=$D$31)*'Predictions &amp; Results'!$S$12:$S$83+('Predictions &amp; Results'!$J$12:$J$83=$D$31)*'Predictions &amp; Results'!$R$12:$R$83))</f>
        <v>0</v>
      </c>
      <c r="N31" s="179">
        <f>L31-M31</f>
        <v>0</v>
      </c>
      <c r="O31" s="179">
        <f>I31*3+J31</f>
        <v>0</v>
      </c>
      <c r="P31" s="91">
        <f>IF(SUM($H$31:$H$34)=0,0,1+((O32&gt;O31)+(O32=O31)*(N32&gt;N31)+(O32=O31)*(N32=N31)*(L32&gt;L31)+(O32=O31)*(N32=N31)*(L32=L31)*(32&lt;31))+((O33&gt;O31)+(O33=O31)*(N33&gt;N31)+(O33=O31)*(N33=N31)*(L33&gt;L31)+(O33=O31)*(N33=N31)*(L33=L31)*(33&lt;31))+((O34&gt;O31)+(O34=O31)*(N34&gt;N31)+(O34=O31)*(N34=N31)*(L34&gt;L31)+(O34=O31)*(N34=N31)*(L34=L31)*(34&lt;31)))</f>
        <v>0</v>
      </c>
      <c r="Q31" s="340" t="s">
        <v>50</v>
      </c>
      <c r="R31" s="341"/>
      <c r="S31" s="341"/>
      <c r="T31" s="342"/>
      <c r="U31" s="179">
        <f>SUMPRODUCT(('Predictions &amp; Results'!$H$12:$H$83="GH")*'Predictions &amp; Results'!$T$12:$T$83*(('Predictions &amp; Results'!$I$12:$I$83=$Q$31)+('Predictions &amp; Results'!$J$12:$J$83=$Q$31)))</f>
        <v>0</v>
      </c>
      <c r="V31" s="179">
        <f>SUMPRODUCT(('Predictions &amp; Results'!$H$12:$H$83="GH")*'Predictions &amp; Results'!$T$12:$T$83*(('Predictions &amp; Results'!$I$12:$I$83=$Q$31)*('Predictions &amp; Results'!$R$12:$R$83&gt;'Predictions &amp; Results'!$S$12:$S$83)+('Predictions &amp; Results'!$J$12:$J$83=$Q$31)*('Predictions &amp; Results'!$S$12:$S$83&gt;'Predictions &amp; Results'!$R$12:$R$83)))</f>
        <v>0</v>
      </c>
      <c r="W31" s="179">
        <f>SUMPRODUCT(('Predictions &amp; Results'!$H$12:$H$83="GH")*'Predictions &amp; Results'!$T$12:$T$83*(('Predictions &amp; Results'!$I$12:$I$83=$Q$31)+('Predictions &amp; Results'!$J$12:$J$83=$Q$31))*('Predictions &amp; Results'!$R$12:$R$83='Predictions &amp; Results'!$S$12:$S$83))</f>
        <v>0</v>
      </c>
      <c r="X31" s="179">
        <f>SUMPRODUCT(('Predictions &amp; Results'!$H$12:$H$83="GH")*'Predictions &amp; Results'!$T$12:$T$83*(('Predictions &amp; Results'!$I$12:$I$83=$Q$31)*('Predictions &amp; Results'!$R$12:$R$83&lt;'Predictions &amp; Results'!$S$12:$S$83)+('Predictions &amp; Results'!$J$12:$J$83=$Q$31)*('Predictions &amp; Results'!$S$12:$S$83&lt;'Predictions &amp; Results'!$R$12:$R$83)))</f>
        <v>0</v>
      </c>
      <c r="Y31" s="179">
        <f>SUMPRODUCT(('Predictions &amp; Results'!$H$12:$H$83="GH")*'Predictions &amp; Results'!$T$12:$T$83*(('Predictions &amp; Results'!$I$12:$I$83=$Q$31)*'Predictions &amp; Results'!$R$12:$R$83+('Predictions &amp; Results'!$J$12:$J$83=$Q$31)*'Predictions &amp; Results'!$S$12:$S$83))</f>
        <v>0</v>
      </c>
      <c r="Z31" s="179">
        <f>SUMPRODUCT(('Predictions &amp; Results'!$H$12:$H$83="GH")*'Predictions &amp; Results'!$T$12:$T$83*(('Predictions &amp; Results'!$I$12:$I$83=$Q$31)*'Predictions &amp; Results'!$S$12:$S$83+('Predictions &amp; Results'!$J$12:$J$83=$Q$31)*'Predictions &amp; Results'!$R$12:$R$83))</f>
        <v>0</v>
      </c>
      <c r="AA31" s="179">
        <f>Y31-Z31</f>
        <v>0</v>
      </c>
      <c r="AB31" s="179">
        <f>V31*3+W31</f>
        <v>0</v>
      </c>
      <c r="AC31" s="91">
        <f>IF(SUM($U$31:$U$34)=0,0,1+((AB32&gt;AB31)+(AB32=AB31)*(AA32&gt;AA31)+(AB32=AB31)*(AA32=AA31)*(Y32&gt;Y31)+(AB32=AB31)*(AA32=AA31)*(Y32=Y31)*(32&lt;31))+((AB33&gt;AB31)+(AB33=AB31)*(AA33&gt;AA31)+(AB33=AB31)*(AA33=AA31)*(Y33&gt;Y31)+(AB33=AB31)*(AA33=AA31)*(Y33=Y31)*(33&lt;31))+((AB34&gt;AB31)+(AB34=AB31)*(AA34&gt;AA31)+(AB34=AB31)*(AA34=AA31)*(Y34&gt;Y31)+(AB34=AB31)*(AA34=AA31)*(Y34=Y31)*(34&lt;31)))</f>
        <v>0</v>
      </c>
      <c r="AD31" s="340" t="s">
        <v>63</v>
      </c>
      <c r="AE31" s="341"/>
      <c r="AF31" s="341"/>
      <c r="AG31" s="342"/>
      <c r="AH31" s="179">
        <f>SUMPRODUCT(('Predictions &amp; Results'!$H$12:$H$83="GI")*'Predictions &amp; Results'!$T$12:$T$83*(('Predictions &amp; Results'!$I$12:$I$83=$AD$31)+('Predictions &amp; Results'!$J$12:$J$83=$AD$31)))</f>
        <v>0</v>
      </c>
      <c r="AI31" s="179">
        <f>SUMPRODUCT(('Predictions &amp; Results'!$H$12:$H$83="GI")*'Predictions &amp; Results'!$T$12:$T$83*(('Predictions &amp; Results'!$I$12:$I$83=$AD$31)*('Predictions &amp; Results'!$R$12:$R$83&gt;'Predictions &amp; Results'!$S$12:$S$83)+('Predictions &amp; Results'!$J$12:$J$83=$AD$31)*('Predictions &amp; Results'!$S$12:$S$83&gt;'Predictions &amp; Results'!$R$12:$R$83)))</f>
        <v>0</v>
      </c>
      <c r="AJ31" s="179">
        <f>SUMPRODUCT(('Predictions &amp; Results'!$H$12:$H$83="GI")*'Predictions &amp; Results'!$T$12:$T$83*(('Predictions &amp; Results'!$I$12:$I$83=$AD$31)+('Predictions &amp; Results'!$J$12:$J$83=$AD$31))*('Predictions &amp; Results'!$R$12:$R$83='Predictions &amp; Results'!$S$12:$S$83))</f>
        <v>0</v>
      </c>
      <c r="AK31" s="179">
        <f>SUMPRODUCT(('Predictions &amp; Results'!$H$12:$H$83="GI")*'Predictions &amp; Results'!$T$12:$T$83*(('Predictions &amp; Results'!$I$12:$I$83=$AD$31)*('Predictions &amp; Results'!$R$12:$R$83&lt;'Predictions &amp; Results'!$S$12:$S$83)+('Predictions &amp; Results'!$J$12:$J$83=$AD$31)*('Predictions &amp; Results'!$S$12:$S$83&lt;'Predictions &amp; Results'!$R$12:$R$83)))</f>
        <v>0</v>
      </c>
      <c r="AL31" s="179">
        <f>SUMPRODUCT(('Predictions &amp; Results'!$H$12:$H$83="GI")*'Predictions &amp; Results'!$T$12:$T$83*(('Predictions &amp; Results'!$I$12:$I$83=$AD$31)*'Predictions &amp; Results'!$R$12:$R$83+('Predictions &amp; Results'!$J$12:$J$83=$AD$31)*'Predictions &amp; Results'!$S$12:$S$83))</f>
        <v>0</v>
      </c>
      <c r="AM31" s="179">
        <f>SUMPRODUCT(('Predictions &amp; Results'!$H$12:$H$83="GI")*'Predictions &amp; Results'!$T$12:$T$83*(('Predictions &amp; Results'!$I$12:$I$83=$AD$31)*'Predictions &amp; Results'!$S$12:$S$83+('Predictions &amp; Results'!$J$12:$J$83=$AD$31)*'Predictions &amp; Results'!$R$12:$R$83))</f>
        <v>0</v>
      </c>
      <c r="AN31" s="179">
        <f>AL31-AM31</f>
        <v>0</v>
      </c>
      <c r="AO31" s="179">
        <f>AI31*3+AJ31</f>
        <v>0</v>
      </c>
      <c r="AP31" s="222">
        <f>IF(SUM($AH$31:$AH$34)=0,0,1+((AO32&gt;AO31)+(AO32=AO31)*(AN32&gt;AN31)+(AO32=AO31)*(AN32=AN31)*(AL32&gt;AL31)+(AO32=AO31)*(AN32=AN31)*(AL32=AL31)*(32&lt;31))+((AO33&gt;AO31)+(AO33=AO31)*(AN33&gt;AN31)+(AO33=AO31)*(AN33=AN31)*(AL33&gt;AL31)+(AO33=AO31)*(AN33=AN31)*(AL33=AL31)*(33&lt;31))+((AO34&gt;AO31)+(AO34=AO31)*(AN34&gt;AN31)+(AO34=AO31)*(AN34=AN31)*(AL34&gt;AL31)+(AO34=AO31)*(AN34=AN31)*(AL34=AL31)*(34&lt;31)))</f>
        <v>0</v>
      </c>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row>
    <row r="32" spans="1:93" ht="15" customHeight="1">
      <c r="A32" s="34"/>
      <c r="B32" s="201"/>
      <c r="C32" s="212"/>
      <c r="D32" s="340" t="s">
        <v>55</v>
      </c>
      <c r="E32" s="341"/>
      <c r="F32" s="341"/>
      <c r="G32" s="342"/>
      <c r="H32" s="179">
        <f>SUMPRODUCT(('Predictions &amp; Results'!$H$12:$H$83="GG")*'Predictions &amp; Results'!$T$12:$T$83*(('Predictions &amp; Results'!$I$12:$I$83=$D$32)+('Predictions &amp; Results'!$J$12:$J$83=$D$32)))</f>
        <v>0</v>
      </c>
      <c r="I32" s="179">
        <f>SUMPRODUCT(('Predictions &amp; Results'!$H$12:$H$83="GG")*'Predictions &amp; Results'!$T$12:$T$83*(('Predictions &amp; Results'!$I$12:$I$83=$D$32)*('Predictions &amp; Results'!$R$12:$R$83&gt;'Predictions &amp; Results'!$S$12:$S$83)+('Predictions &amp; Results'!$J$12:$J$83=$D$32)*('Predictions &amp; Results'!$S$12:$S$83&gt;'Predictions &amp; Results'!$R$12:$R$83)))</f>
        <v>0</v>
      </c>
      <c r="J32" s="179">
        <f>SUMPRODUCT(('Predictions &amp; Results'!$H$12:$H$83="GG")*'Predictions &amp; Results'!$T$12:$T$83*(('Predictions &amp; Results'!$I$12:$I$83=$D$32)+('Predictions &amp; Results'!$J$12:$J$83=$D$32))*('Predictions &amp; Results'!$R$12:$R$83='Predictions &amp; Results'!$S$12:$S$83))</f>
        <v>0</v>
      </c>
      <c r="K32" s="179">
        <f>SUMPRODUCT(('Predictions &amp; Results'!$H$12:$H$83="GG")*'Predictions &amp; Results'!$T$12:$T$83*(('Predictions &amp; Results'!$I$12:$I$83=$D$32)*('Predictions &amp; Results'!$R$12:$R$83&lt;'Predictions &amp; Results'!$S$12:$S$83)+('Predictions &amp; Results'!$J$12:$J$83=$D$32)*('Predictions &amp; Results'!$S$12:$S$83&lt;'Predictions &amp; Results'!$R$12:$R$83)))</f>
        <v>0</v>
      </c>
      <c r="L32" s="179">
        <f>SUMPRODUCT(('Predictions &amp; Results'!$H$12:$H$83="GG")*'Predictions &amp; Results'!$T$12:$T$83*(('Predictions &amp; Results'!$I$12:$I$83=$D$32)*'Predictions &amp; Results'!$R$12:$R$83+('Predictions &amp; Results'!$J$12:$J$83=$D$32)*'Predictions &amp; Results'!$S$12:$S$83))</f>
        <v>0</v>
      </c>
      <c r="M32" s="179">
        <f>SUMPRODUCT(('Predictions &amp; Results'!$H$12:$H$83="GG")*'Predictions &amp; Results'!$T$12:$T$83*(('Predictions &amp; Results'!$I$12:$I$83=$D$32)*'Predictions &amp; Results'!$S$12:$S$83+('Predictions &amp; Results'!$J$12:$J$83=$D$32)*'Predictions &amp; Results'!$R$12:$R$83))</f>
        <v>0</v>
      </c>
      <c r="N32" s="179">
        <f>L32-M32</f>
        <v>0</v>
      </c>
      <c r="O32" s="179">
        <f>I32*3+J32</f>
        <v>0</v>
      </c>
      <c r="P32" s="91">
        <f>IF(SUM($H$31:$H$34)=0,0,1+((O31&gt;O32)+(O31=O32)*(N31&gt;N32)+(O31=O32)*(N31=N32)*(L31&gt;L32)+(O31=O32)*(N31=N32)*(L31=L32)*(31&lt;32))+((O33&gt;O32)+(O33=O32)*(N33&gt;N32)+(O33=O32)*(N33=N32)*(L33&gt;L32)+(O33=O32)*(N33=N32)*(L33=L32)*(33&lt;32))+((O34&gt;O32)+(O34=O32)*(N34&gt;N32)+(O34=O32)*(N34=N32)*(L34&gt;L32)+(O34=O32)*(N34=N32)*(L34=L32)*(34&lt;32)))</f>
        <v>0</v>
      </c>
      <c r="Q32" s="340" t="s">
        <v>51</v>
      </c>
      <c r="R32" s="341"/>
      <c r="S32" s="341"/>
      <c r="T32" s="342"/>
      <c r="U32" s="179">
        <f>SUMPRODUCT(('Predictions &amp; Results'!$H$12:$H$83="GH")*'Predictions &amp; Results'!$T$12:$T$83*(('Predictions &amp; Results'!$I$12:$I$83=$Q$32)+('Predictions &amp; Results'!$J$12:$J$83=$Q$32)))</f>
        <v>0</v>
      </c>
      <c r="V32" s="179">
        <f>SUMPRODUCT(('Predictions &amp; Results'!$H$12:$H$83="GH")*'Predictions &amp; Results'!$T$12:$T$83*(('Predictions &amp; Results'!$I$12:$I$83=$Q$32)*('Predictions &amp; Results'!$R$12:$R$83&gt;'Predictions &amp; Results'!$S$12:$S$83)+('Predictions &amp; Results'!$J$12:$J$83=$Q$32)*('Predictions &amp; Results'!$S$12:$S$83&gt;'Predictions &amp; Results'!$R$12:$R$83)))</f>
        <v>0</v>
      </c>
      <c r="W32" s="179">
        <f>SUMPRODUCT(('Predictions &amp; Results'!$H$12:$H$83="GH")*'Predictions &amp; Results'!$T$12:$T$83*(('Predictions &amp; Results'!$I$12:$I$83=$Q$32)+('Predictions &amp; Results'!$J$12:$J$83=$Q$32))*('Predictions &amp; Results'!$R$12:$R$83='Predictions &amp; Results'!$S$12:$S$83))</f>
        <v>0</v>
      </c>
      <c r="X32" s="179">
        <f>SUMPRODUCT(('Predictions &amp; Results'!$H$12:$H$83="GH")*'Predictions &amp; Results'!$T$12:$T$83*(('Predictions &amp; Results'!$I$12:$I$83=$Q$32)*('Predictions &amp; Results'!$R$12:$R$83&lt;'Predictions &amp; Results'!$S$12:$S$83)+('Predictions &amp; Results'!$J$12:$J$83=$Q$32)*('Predictions &amp; Results'!$S$12:$S$83&lt;'Predictions &amp; Results'!$R$12:$R$83)))</f>
        <v>0</v>
      </c>
      <c r="Y32" s="179">
        <f>SUMPRODUCT(('Predictions &amp; Results'!$H$12:$H$83="GH")*'Predictions &amp; Results'!$T$12:$T$83*(('Predictions &amp; Results'!$I$12:$I$83=$Q$32)*'Predictions &amp; Results'!$R$12:$R$83+('Predictions &amp; Results'!$J$12:$J$83=$Q$32)*'Predictions &amp; Results'!$S$12:$S$83))</f>
        <v>0</v>
      </c>
      <c r="Z32" s="179">
        <f>SUMPRODUCT(('Predictions &amp; Results'!$H$12:$H$83="GH")*'Predictions &amp; Results'!$T$12:$T$83*(('Predictions &amp; Results'!$I$12:$I$83=$Q$32)*'Predictions &amp; Results'!$S$12:$S$83+('Predictions &amp; Results'!$J$12:$J$83=$Q$32)*'Predictions &amp; Results'!$R$12:$R$83))</f>
        <v>0</v>
      </c>
      <c r="AA32" s="179">
        <f>Y32-Z32</f>
        <v>0</v>
      </c>
      <c r="AB32" s="179">
        <f>V32*3+W32</f>
        <v>0</v>
      </c>
      <c r="AC32" s="91">
        <f>IF(SUM($U$31:$U$34)=0,0,1+((AB31&gt;AB32)+(AB31=AB32)*(AA31&gt;AA32)+(AB31=AB32)*(AA31=AA32)*(Y31&gt;Y32)+(AB31=AB32)*(AA31=AA32)*(Y31=Y32)*(31&lt;32))+((AB33&gt;AB32)+(AB33=AB32)*(AA33&gt;AA32)+(AB33=AB32)*(AA33=AA32)*(Y33&gt;Y32)+(AB33=AB32)*(AA33=AA32)*(Y33=Y32)*(33&lt;32))+((AB34&gt;AB32)+(AB34=AB32)*(AA34&gt;AA32)+(AB34=AB32)*(AA34=AA32)*(Y34&gt;Y32)+(AB34=AB32)*(AA34=AA32)*(Y34=Y32)*(34&lt;32)))</f>
        <v>0</v>
      </c>
      <c r="AD32" s="340" t="s">
        <v>64</v>
      </c>
      <c r="AE32" s="341"/>
      <c r="AF32" s="341"/>
      <c r="AG32" s="342"/>
      <c r="AH32" s="179">
        <f>SUMPRODUCT(('Predictions &amp; Results'!$H$12:$H$83="GI")*'Predictions &amp; Results'!$T$12:$T$83*(('Predictions &amp; Results'!$I$12:$I$83=$AD$32)+('Predictions &amp; Results'!$J$12:$J$83=$AD$32)))</f>
        <v>0</v>
      </c>
      <c r="AI32" s="179">
        <f>SUMPRODUCT(('Predictions &amp; Results'!$H$12:$H$83="GI")*'Predictions &amp; Results'!$T$12:$T$83*(('Predictions &amp; Results'!$I$12:$I$83=$AD$32)*('Predictions &amp; Results'!$R$12:$R$83&gt;'Predictions &amp; Results'!$S$12:$S$83)+('Predictions &amp; Results'!$J$12:$J$83=$AD$32)*('Predictions &amp; Results'!$S$12:$S$83&gt;'Predictions &amp; Results'!$R$12:$R$83)))</f>
        <v>0</v>
      </c>
      <c r="AJ32" s="179">
        <f>SUMPRODUCT(('Predictions &amp; Results'!$H$12:$H$83="GI")*'Predictions &amp; Results'!$T$12:$T$83*(('Predictions &amp; Results'!$I$12:$I$83=$AD$32)+('Predictions &amp; Results'!$J$12:$J$83=$AD$32))*('Predictions &amp; Results'!$R$12:$R$83='Predictions &amp; Results'!$S$12:$S$83))</f>
        <v>0</v>
      </c>
      <c r="AK32" s="179">
        <f>SUMPRODUCT(('Predictions &amp; Results'!$H$12:$H$83="GI")*'Predictions &amp; Results'!$T$12:$T$83*(('Predictions &amp; Results'!$I$12:$I$83=$AD$32)*('Predictions &amp; Results'!$R$12:$R$83&lt;'Predictions &amp; Results'!$S$12:$S$83)+('Predictions &amp; Results'!$J$12:$J$83=$AD$32)*('Predictions &amp; Results'!$S$12:$S$83&lt;'Predictions &amp; Results'!$R$12:$R$83)))</f>
        <v>0</v>
      </c>
      <c r="AL32" s="179">
        <f>SUMPRODUCT(('Predictions &amp; Results'!$H$12:$H$83="GI")*'Predictions &amp; Results'!$T$12:$T$83*(('Predictions &amp; Results'!$I$12:$I$83=$AD$32)*'Predictions &amp; Results'!$R$12:$R$83+('Predictions &amp; Results'!$J$12:$J$83=$AD$32)*'Predictions &amp; Results'!$S$12:$S$83))</f>
        <v>0</v>
      </c>
      <c r="AM32" s="179">
        <f>SUMPRODUCT(('Predictions &amp; Results'!$H$12:$H$83="GI")*'Predictions &amp; Results'!$T$12:$T$83*(('Predictions &amp; Results'!$I$12:$I$83=$AD$32)*'Predictions &amp; Results'!$S$12:$S$83+('Predictions &amp; Results'!$J$12:$J$83=$AD$32)*'Predictions &amp; Results'!$R$12:$R$83))</f>
        <v>0</v>
      </c>
      <c r="AN32" s="179">
        <f>AL32-AM32</f>
        <v>0</v>
      </c>
      <c r="AO32" s="179">
        <f>AI32*3+AJ32</f>
        <v>0</v>
      </c>
      <c r="AP32" s="222">
        <f>IF(SUM($AH$31:$AH$34)=0,0,1+((AO31&gt;AO32)+(AO31=AO32)*(AN31&gt;AN32)+(AO31=AO32)*(AN31=AN32)*(AL31&gt;AL32)+(AO31=AO32)*(AN31=AN32)*(AL31=AL32)*(31&lt;32))+((AO33&gt;AO32)+(AO33=AO32)*(AN33&gt;AN32)+(AO33=AO32)*(AN33=AN32)*(AL33&gt;AL32)+(AO33=AO32)*(AN33=AN32)*(AL33=AL32)*(33&lt;32))+((AO34&gt;AO32)+(AO34=AO32)*(AN34&gt;AN32)+(AO34=AO32)*(AN34=AN32)*(AL34&gt;AL32)+(AO34=AO32)*(AN34=AN32)*(AL34=AL32)*(34&lt;32)))</f>
        <v>0</v>
      </c>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row>
    <row r="33" spans="1:93" ht="15" customHeight="1">
      <c r="A33" s="34"/>
      <c r="B33" s="201"/>
      <c r="C33" s="212"/>
      <c r="D33" s="340" t="s">
        <v>60</v>
      </c>
      <c r="E33" s="341"/>
      <c r="F33" s="341"/>
      <c r="G33" s="342"/>
      <c r="H33" s="179">
        <f>SUMPRODUCT(('Predictions &amp; Results'!$H$12:$H$83="GG")*'Predictions &amp; Results'!$T$12:$T$83*(('Predictions &amp; Results'!$I$12:$I$83=$D$33)+('Predictions &amp; Results'!$J$12:$J$83=$D$33)))</f>
        <v>0</v>
      </c>
      <c r="I33" s="179">
        <f>SUMPRODUCT(('Predictions &amp; Results'!$H$12:$H$83="GG")*'Predictions &amp; Results'!$T$12:$T$83*(('Predictions &amp; Results'!$I$12:$I$83=$D$33)*('Predictions &amp; Results'!$R$12:$R$83&gt;'Predictions &amp; Results'!$S$12:$S$83)+('Predictions &amp; Results'!$J$12:$J$83=$D$33)*('Predictions &amp; Results'!$S$12:$S$83&gt;'Predictions &amp; Results'!$R$12:$R$83)))</f>
        <v>0</v>
      </c>
      <c r="J33" s="179">
        <f>SUMPRODUCT(('Predictions &amp; Results'!$H$12:$H$83="GG")*'Predictions &amp; Results'!$T$12:$T$83*(('Predictions &amp; Results'!$I$12:$I$83=$D$33)+('Predictions &amp; Results'!$J$12:$J$83=$D$33))*('Predictions &amp; Results'!$R$12:$R$83='Predictions &amp; Results'!$S$12:$S$83))</f>
        <v>0</v>
      </c>
      <c r="K33" s="179">
        <f>SUMPRODUCT(('Predictions &amp; Results'!$H$12:$H$83="GG")*'Predictions &amp; Results'!$T$12:$T$83*(('Predictions &amp; Results'!$I$12:$I$83=$D$33)*('Predictions &amp; Results'!$R$12:$R$83&lt;'Predictions &amp; Results'!$S$12:$S$83)+('Predictions &amp; Results'!$J$12:$J$83=$D$33)*('Predictions &amp; Results'!$S$12:$S$83&lt;'Predictions &amp; Results'!$R$12:$R$83)))</f>
        <v>0</v>
      </c>
      <c r="L33" s="179">
        <f>SUMPRODUCT(('Predictions &amp; Results'!$H$12:$H$83="GG")*'Predictions &amp; Results'!$T$12:$T$83*(('Predictions &amp; Results'!$I$12:$I$83=$D$33)*'Predictions &amp; Results'!$R$12:$R$83+('Predictions &amp; Results'!$J$12:$J$83=$D$33)*'Predictions &amp; Results'!$S$12:$S$83))</f>
        <v>0</v>
      </c>
      <c r="M33" s="179">
        <f>SUMPRODUCT(('Predictions &amp; Results'!$H$12:$H$83="GG")*'Predictions &amp; Results'!$T$12:$T$83*(('Predictions &amp; Results'!$I$12:$I$83=$D$33)*'Predictions &amp; Results'!$S$12:$S$83+('Predictions &amp; Results'!$J$12:$J$83=$D$33)*'Predictions &amp; Results'!$R$12:$R$83))</f>
        <v>0</v>
      </c>
      <c r="N33" s="179">
        <f>L33-M33</f>
        <v>0</v>
      </c>
      <c r="O33" s="179">
        <f>I33*3+J33</f>
        <v>0</v>
      </c>
      <c r="P33" s="91">
        <f>IF(SUM($H$31:$H$34)=0,0,1+((O31&gt;O33)+(O31=O33)*(N31&gt;N33)+(O31=O33)*(N31=N33)*(L31&gt;L33)+(O31=O33)*(N31=N33)*(L31=L33)*(31&lt;33))+((O32&gt;O33)+(O32=O33)*(N32&gt;N33)+(O32=O33)*(N32=N33)*(L32&gt;L33)+(O32=O33)*(N32=N33)*(L32=L33)*(32&lt;33))+((O34&gt;O33)+(O34=O33)*(N34&gt;N33)+(O34=O33)*(N34=N33)*(L34&gt;L33)+(O34=O33)*(N34=N33)*(L34=L33)*(34&lt;33)))</f>
        <v>0</v>
      </c>
      <c r="Q33" s="340" t="s">
        <v>57</v>
      </c>
      <c r="R33" s="341"/>
      <c r="S33" s="341"/>
      <c r="T33" s="342"/>
      <c r="U33" s="179">
        <f>SUMPRODUCT(('Predictions &amp; Results'!$H$12:$H$83="GH")*'Predictions &amp; Results'!$T$12:$T$83*(('Predictions &amp; Results'!$I$12:$I$83=$Q$33)+('Predictions &amp; Results'!$J$12:$J$83=$Q$33)))</f>
        <v>0</v>
      </c>
      <c r="V33" s="179">
        <f>SUMPRODUCT(('Predictions &amp; Results'!$H$12:$H$83="GH")*'Predictions &amp; Results'!$T$12:$T$83*(('Predictions &amp; Results'!$I$12:$I$83=$Q$33)*('Predictions &amp; Results'!$R$12:$R$83&gt;'Predictions &amp; Results'!$S$12:$S$83)+('Predictions &amp; Results'!$J$12:$J$83=$Q$33)*('Predictions &amp; Results'!$S$12:$S$83&gt;'Predictions &amp; Results'!$R$12:$R$83)))</f>
        <v>0</v>
      </c>
      <c r="W33" s="179">
        <f>SUMPRODUCT(('Predictions &amp; Results'!$H$12:$H$83="GH")*'Predictions &amp; Results'!$T$12:$T$83*(('Predictions &amp; Results'!$I$12:$I$83=$Q$33)+('Predictions &amp; Results'!$J$12:$J$83=$Q$33))*('Predictions &amp; Results'!$R$12:$R$83='Predictions &amp; Results'!$S$12:$S$83))</f>
        <v>0</v>
      </c>
      <c r="X33" s="179">
        <f>SUMPRODUCT(('Predictions &amp; Results'!$H$12:$H$83="GH")*'Predictions &amp; Results'!$T$12:$T$83*(('Predictions &amp; Results'!$I$12:$I$83=$Q$33)*('Predictions &amp; Results'!$R$12:$R$83&lt;'Predictions &amp; Results'!$S$12:$S$83)+('Predictions &amp; Results'!$J$12:$J$83=$Q$33)*('Predictions &amp; Results'!$S$12:$S$83&lt;'Predictions &amp; Results'!$R$12:$R$83)))</f>
        <v>0</v>
      </c>
      <c r="Y33" s="179">
        <f>SUMPRODUCT(('Predictions &amp; Results'!$H$12:$H$83="GH")*'Predictions &amp; Results'!$T$12:$T$83*(('Predictions &amp; Results'!$I$12:$I$83=$Q$33)*'Predictions &amp; Results'!$R$12:$R$83+('Predictions &amp; Results'!$J$12:$J$83=$Q$33)*'Predictions &amp; Results'!$S$12:$S$83))</f>
        <v>0</v>
      </c>
      <c r="Z33" s="179">
        <f>SUMPRODUCT(('Predictions &amp; Results'!$H$12:$H$83="GH")*'Predictions &amp; Results'!$T$12:$T$83*(('Predictions &amp; Results'!$I$12:$I$83=$Q$33)*'Predictions &amp; Results'!$S$12:$S$83+('Predictions &amp; Results'!$J$12:$J$83=$Q$33)*'Predictions &amp; Results'!$R$12:$R$83))</f>
        <v>0</v>
      </c>
      <c r="AA33" s="179">
        <f>Y33-Z33</f>
        <v>0</v>
      </c>
      <c r="AB33" s="179">
        <f>V33*3+W33</f>
        <v>0</v>
      </c>
      <c r="AC33" s="91">
        <f>IF(SUM($U$31:$U$34)=0,0,1+((AB31&gt;AB33)+(AB31=AB33)*(AA31&gt;AA33)+(AB31=AB33)*(AA31=AA33)*(Y31&gt;Y33)+(AB31=AB33)*(AA31=AA33)*(Y31=Y33)*(31&lt;33))+((AB32&gt;AB33)+(AB32=AB33)*(AA32&gt;AA33)+(AB32=AB33)*(AA32=AA33)*(Y32&gt;Y33)+(AB32=AB33)*(AA32=AA33)*(Y32=Y33)*(32&lt;33))+((AB34&gt;AB33)+(AB34=AB33)*(AA34&gt;AA33)+(AB34=AB33)*(AA34=AA33)*(Y34&gt;Y33)+(AB34=AB33)*(AA34=AA33)*(Y34=Y33)*(34&lt;33)))</f>
        <v>0</v>
      </c>
      <c r="AD33" s="340" t="s">
        <v>65</v>
      </c>
      <c r="AE33" s="341"/>
      <c r="AF33" s="341"/>
      <c r="AG33" s="342"/>
      <c r="AH33" s="179">
        <f>SUMPRODUCT(('Predictions &amp; Results'!$H$12:$H$83="GI")*'Predictions &amp; Results'!$T$12:$T$83*(('Predictions &amp; Results'!$I$12:$I$83=$AD$33)+('Predictions &amp; Results'!$J$12:$J$83=$AD$33)))</f>
        <v>0</v>
      </c>
      <c r="AI33" s="179">
        <f>SUMPRODUCT(('Predictions &amp; Results'!$H$12:$H$83="GI")*'Predictions &amp; Results'!$T$12:$T$83*(('Predictions &amp; Results'!$I$12:$I$83=$AD$33)*('Predictions &amp; Results'!$R$12:$R$83&gt;'Predictions &amp; Results'!$S$12:$S$83)+('Predictions &amp; Results'!$J$12:$J$83=$AD$33)*('Predictions &amp; Results'!$S$12:$S$83&gt;'Predictions &amp; Results'!$R$12:$R$83)))</f>
        <v>0</v>
      </c>
      <c r="AJ33" s="179">
        <f>SUMPRODUCT(('Predictions &amp; Results'!$H$12:$H$83="GI")*'Predictions &amp; Results'!$T$12:$T$83*(('Predictions &amp; Results'!$I$12:$I$83=$AD$33)+('Predictions &amp; Results'!$J$12:$J$83=$AD$33))*('Predictions &amp; Results'!$R$12:$R$83='Predictions &amp; Results'!$S$12:$S$83))</f>
        <v>0</v>
      </c>
      <c r="AK33" s="179">
        <f>SUMPRODUCT(('Predictions &amp; Results'!$H$12:$H$83="GI")*'Predictions &amp; Results'!$T$12:$T$83*(('Predictions &amp; Results'!$I$12:$I$83=$AD$33)*('Predictions &amp; Results'!$R$12:$R$83&lt;'Predictions &amp; Results'!$S$12:$S$83)+('Predictions &amp; Results'!$J$12:$J$83=$AD$33)*('Predictions &amp; Results'!$S$12:$S$83&lt;'Predictions &amp; Results'!$R$12:$R$83)))</f>
        <v>0</v>
      </c>
      <c r="AL33" s="179">
        <f>SUMPRODUCT(('Predictions &amp; Results'!$H$12:$H$83="GI")*'Predictions &amp; Results'!$T$12:$T$83*(('Predictions &amp; Results'!$I$12:$I$83=$AD$33)*'Predictions &amp; Results'!$R$12:$R$83+('Predictions &amp; Results'!$J$12:$J$83=$AD$33)*'Predictions &amp; Results'!$S$12:$S$83))</f>
        <v>0</v>
      </c>
      <c r="AM33" s="179">
        <f>SUMPRODUCT(('Predictions &amp; Results'!$H$12:$H$83="GI")*'Predictions &amp; Results'!$T$12:$T$83*(('Predictions &amp; Results'!$I$12:$I$83=$AD$33)*'Predictions &amp; Results'!$S$12:$S$83+('Predictions &amp; Results'!$J$12:$J$83=$AD$33)*'Predictions &amp; Results'!$R$12:$R$83))</f>
        <v>0</v>
      </c>
      <c r="AN33" s="179">
        <f>AL33-AM33</f>
        <v>0</v>
      </c>
      <c r="AO33" s="179">
        <f>AI33*3+AJ33</f>
        <v>0</v>
      </c>
      <c r="AP33" s="222">
        <f>IF(SUM($AH$31:$AH$34)=0,0,1+((AO31&gt;AO33)+(AO31=AO33)*(AN31&gt;AN33)+(AO31=AO33)*(AN31=AN33)*(AL31&gt;AL33)+(AO31=AO33)*(AN31=AN33)*(AL31=AL33)*(31&lt;33))+((AO32&gt;AO33)+(AO32=AO33)*(AN32&gt;AN33)+(AO32=AO33)*(AN32=AN33)*(AL32&gt;AL33)+(AO32=AO33)*(AN32=AN33)*(AL32=AL33)*(32&lt;33))+((AO34&gt;AO33)+(AO34=AO33)*(AN34&gt;AN33)+(AO34=AO33)*(AN34=AN33)*(AL34&gt;AL33)+(AO34=AO33)*(AN34=AN33)*(AL34=AL33)*(34&lt;33)))</f>
        <v>0</v>
      </c>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row>
    <row r="34" spans="1:93" ht="15" customHeight="1">
      <c r="A34" s="34"/>
      <c r="B34" s="201"/>
      <c r="C34" s="212"/>
      <c r="D34" s="340" t="s">
        <v>61</v>
      </c>
      <c r="E34" s="341"/>
      <c r="F34" s="341"/>
      <c r="G34" s="342"/>
      <c r="H34" s="179">
        <f>SUMPRODUCT(('Predictions &amp; Results'!$H$12:$H$83="GG")*'Predictions &amp; Results'!$T$12:$T$83*(('Predictions &amp; Results'!$I$12:$I$83=$D$34)+('Predictions &amp; Results'!$J$12:$J$83=$D$34)))</f>
        <v>0</v>
      </c>
      <c r="I34" s="179">
        <f>SUMPRODUCT(('Predictions &amp; Results'!$H$12:$H$83="GG")*'Predictions &amp; Results'!$T$12:$T$83*(('Predictions &amp; Results'!$I$12:$I$83=$D$34)*('Predictions &amp; Results'!$R$12:$R$83&gt;'Predictions &amp; Results'!$S$12:$S$83)+('Predictions &amp; Results'!$J$12:$J$83=$D$34)*('Predictions &amp; Results'!$S$12:$S$83&gt;'Predictions &amp; Results'!$R$12:$R$83)))</f>
        <v>0</v>
      </c>
      <c r="J34" s="179">
        <f>SUMPRODUCT(('Predictions &amp; Results'!$H$12:$H$83="GG")*'Predictions &amp; Results'!$T$12:$T$83*(('Predictions &amp; Results'!$I$12:$I$83=$D$34)+('Predictions &amp; Results'!$J$12:$J$83=$D$34))*('Predictions &amp; Results'!$R$12:$R$83='Predictions &amp; Results'!$S$12:$S$83))</f>
        <v>0</v>
      </c>
      <c r="K34" s="179">
        <f>SUMPRODUCT(('Predictions &amp; Results'!$H$12:$H$83="GG")*'Predictions &amp; Results'!$T$12:$T$83*(('Predictions &amp; Results'!$I$12:$I$83=$D$34)*('Predictions &amp; Results'!$R$12:$R$83&lt;'Predictions &amp; Results'!$S$12:$S$83)+('Predictions &amp; Results'!$J$12:$J$83=$D$34)*('Predictions &amp; Results'!$S$12:$S$83&lt;'Predictions &amp; Results'!$R$12:$R$83)))</f>
        <v>0</v>
      </c>
      <c r="L34" s="179">
        <f>SUMPRODUCT(('Predictions &amp; Results'!$H$12:$H$83="GG")*'Predictions &amp; Results'!$T$12:$T$83*(('Predictions &amp; Results'!$I$12:$I$83=$D$34)*'Predictions &amp; Results'!$R$12:$R$83+('Predictions &amp; Results'!$J$12:$J$83=$D$34)*'Predictions &amp; Results'!$S$12:$S$83))</f>
        <v>0</v>
      </c>
      <c r="M34" s="179">
        <f>SUMPRODUCT(('Predictions &amp; Results'!$H$12:$H$83="GG")*'Predictions &amp; Results'!$T$12:$T$83*(('Predictions &amp; Results'!$I$12:$I$83=$D$34)*'Predictions &amp; Results'!$S$12:$S$83+('Predictions &amp; Results'!$J$12:$J$83=$D$34)*'Predictions &amp; Results'!$R$12:$R$83))</f>
        <v>0</v>
      </c>
      <c r="N34" s="179">
        <f>L34-M34</f>
        <v>0</v>
      </c>
      <c r="O34" s="179">
        <f>I34*3+J34</f>
        <v>0</v>
      </c>
      <c r="P34" s="91">
        <f>IF(SUM($H$31:$H$34)=0,0,1+((O31&gt;O34)+(O31=O34)*(N31&gt;N34)+(O31=O34)*(N31=N34)*(L31&gt;L34)+(O31=O34)*(N31=N34)*(L31=L34)*(31&lt;34))+((O32&gt;O34)+(O32=O34)*(N32&gt;N34)+(O32=O34)*(N32=N34)*(L32&gt;L34)+(O32=O34)*(N32=N34)*(L32=L34)*(32&lt;34))+((O33&gt;O34)+(O33=O34)*(N33&gt;N34)+(O33=O34)*(N33=N34)*(L33&gt;L34)+(O33=O34)*(N33=N34)*(L33=L34)*(33&lt;34)))</f>
        <v>0</v>
      </c>
      <c r="Q34" s="340" t="s">
        <v>58</v>
      </c>
      <c r="R34" s="341"/>
      <c r="S34" s="341"/>
      <c r="T34" s="342"/>
      <c r="U34" s="179">
        <f>SUMPRODUCT(('Predictions &amp; Results'!$H$12:$H$83="GH")*'Predictions &amp; Results'!$T$12:$T$83*(('Predictions &amp; Results'!$I$12:$I$83=$Q$34)+('Predictions &amp; Results'!$J$12:$J$83=$Q$34)))</f>
        <v>0</v>
      </c>
      <c r="V34" s="179">
        <f>SUMPRODUCT(('Predictions &amp; Results'!$H$12:$H$83="GH")*'Predictions &amp; Results'!$T$12:$T$83*(('Predictions &amp; Results'!$I$12:$I$83=$Q$34)*('Predictions &amp; Results'!$R$12:$R$83&gt;'Predictions &amp; Results'!$S$12:$S$83)+('Predictions &amp; Results'!$J$12:$J$83=$Q$34)*('Predictions &amp; Results'!$S$12:$S$83&gt;'Predictions &amp; Results'!$R$12:$R$83)))</f>
        <v>0</v>
      </c>
      <c r="W34" s="179">
        <f>SUMPRODUCT(('Predictions &amp; Results'!$H$12:$H$83="GH")*'Predictions &amp; Results'!$T$12:$T$83*(('Predictions &amp; Results'!$I$12:$I$83=$Q$34)+('Predictions &amp; Results'!$J$12:$J$83=$Q$34))*('Predictions &amp; Results'!$R$12:$R$83='Predictions &amp; Results'!$S$12:$S$83))</f>
        <v>0</v>
      </c>
      <c r="X34" s="179">
        <f>SUMPRODUCT(('Predictions &amp; Results'!$H$12:$H$83="GH")*'Predictions &amp; Results'!$T$12:$T$83*(('Predictions &amp; Results'!$I$12:$I$83=$Q$34)*('Predictions &amp; Results'!$R$12:$R$83&lt;'Predictions &amp; Results'!$S$12:$S$83)+('Predictions &amp; Results'!$J$12:$J$83=$Q$34)*('Predictions &amp; Results'!$S$12:$S$83&lt;'Predictions &amp; Results'!$R$12:$R$83)))</f>
        <v>0</v>
      </c>
      <c r="Y34" s="179">
        <f>SUMPRODUCT(('Predictions &amp; Results'!$H$12:$H$83="GH")*'Predictions &amp; Results'!$T$12:$T$83*(('Predictions &amp; Results'!$I$12:$I$83=$Q$34)*'Predictions &amp; Results'!$R$12:$R$83+('Predictions &amp; Results'!$J$12:$J$83=$Q$34)*'Predictions &amp; Results'!$S$12:$S$83))</f>
        <v>0</v>
      </c>
      <c r="Z34" s="179">
        <f>SUMPRODUCT(('Predictions &amp; Results'!$H$12:$H$83="GH")*'Predictions &amp; Results'!$T$12:$T$83*(('Predictions &amp; Results'!$I$12:$I$83=$Q$34)*'Predictions &amp; Results'!$S$12:$S$83+('Predictions &amp; Results'!$J$12:$J$83=$Q$34)*'Predictions &amp; Results'!$R$12:$R$83))</f>
        <v>0</v>
      </c>
      <c r="AA34" s="179">
        <f>Y34-Z34</f>
        <v>0</v>
      </c>
      <c r="AB34" s="179">
        <f>V34*3+W34</f>
        <v>0</v>
      </c>
      <c r="AC34" s="91">
        <f>IF(SUM($U$31:$U$34)=0,0,1+((AB31&gt;AB34)+(AB31=AB34)*(AA31&gt;AA34)+(AB31=AB34)*(AA31=AA34)*(Y31&gt;Y34)+(AB31=AB34)*(AA31=AA34)*(Y31=Y34)*(31&lt;34))+((AB32&gt;AB34)+(AB32=AB34)*(AA32&gt;AA34)+(AB32=AB34)*(AA32=AA34)*(Y32&gt;Y34)+(AB32=AB34)*(AA32=AA34)*(Y32=Y34)*(32&lt;34))+((AB33&gt;AB34)+(AB33=AB34)*(AA33&gt;AA34)+(AB33=AB34)*(AA33=AA34)*(Y33&gt;Y34)+(AB33=AB34)*(AA33=AA34)*(Y33=Y34)*(33&lt;34)))</f>
        <v>0</v>
      </c>
      <c r="AD34" s="340" t="s">
        <v>66</v>
      </c>
      <c r="AE34" s="341"/>
      <c r="AF34" s="341"/>
      <c r="AG34" s="342"/>
      <c r="AH34" s="179">
        <f>SUMPRODUCT(('Predictions &amp; Results'!$H$12:$H$83="GI")*'Predictions &amp; Results'!$T$12:$T$83*(('Predictions &amp; Results'!$I$12:$I$83=$AD$34)+('Predictions &amp; Results'!$J$12:$J$83=$AD$34)))</f>
        <v>0</v>
      </c>
      <c r="AI34" s="179">
        <f>SUMPRODUCT(('Predictions &amp; Results'!$H$12:$H$83="GI")*'Predictions &amp; Results'!$T$12:$T$83*(('Predictions &amp; Results'!$I$12:$I$83=$AD$34)*('Predictions &amp; Results'!$R$12:$R$83&gt;'Predictions &amp; Results'!$S$12:$S$83)+('Predictions &amp; Results'!$J$12:$J$83=$AD$34)*('Predictions &amp; Results'!$S$12:$S$83&gt;'Predictions &amp; Results'!$R$12:$R$83)))</f>
        <v>0</v>
      </c>
      <c r="AJ34" s="179">
        <f>SUMPRODUCT(('Predictions &amp; Results'!$H$12:$H$83="GI")*'Predictions &amp; Results'!$T$12:$T$83*(('Predictions &amp; Results'!$I$12:$I$83=$AD$34)+('Predictions &amp; Results'!$J$12:$J$83=$AD$34))*('Predictions &amp; Results'!$R$12:$R$83='Predictions &amp; Results'!$S$12:$S$83))</f>
        <v>0</v>
      </c>
      <c r="AK34" s="179">
        <f>SUMPRODUCT(('Predictions &amp; Results'!$H$12:$H$83="GI")*'Predictions &amp; Results'!$T$12:$T$83*(('Predictions &amp; Results'!$I$12:$I$83=$AD$34)*('Predictions &amp; Results'!$R$12:$R$83&lt;'Predictions &amp; Results'!$S$12:$S$83)+('Predictions &amp; Results'!$J$12:$J$83=$AD$34)*('Predictions &amp; Results'!$S$12:$S$83&lt;'Predictions &amp; Results'!$R$12:$R$83)))</f>
        <v>0</v>
      </c>
      <c r="AL34" s="179">
        <f>SUMPRODUCT(('Predictions &amp; Results'!$H$12:$H$83="GI")*'Predictions &amp; Results'!$T$12:$T$83*(('Predictions &amp; Results'!$I$12:$I$83=$AD$34)*'Predictions &amp; Results'!$R$12:$R$83+('Predictions &amp; Results'!$J$12:$J$83=$AD$34)*'Predictions &amp; Results'!$S$12:$S$83))</f>
        <v>0</v>
      </c>
      <c r="AM34" s="179">
        <f>SUMPRODUCT(('Predictions &amp; Results'!$H$12:$H$83="GI")*'Predictions &amp; Results'!$T$12:$T$83*(('Predictions &amp; Results'!$I$12:$I$83=$AD$34)*'Predictions &amp; Results'!$S$12:$S$83+('Predictions &amp; Results'!$J$12:$J$83=$AD$34)*'Predictions &amp; Results'!$R$12:$R$83))</f>
        <v>0</v>
      </c>
      <c r="AN34" s="179">
        <f>AL34-AM34</f>
        <v>0</v>
      </c>
      <c r="AO34" s="179">
        <f>AI34*3+AJ34</f>
        <v>0</v>
      </c>
      <c r="AP34" s="222">
        <f>IF(SUM($AH$31:$AH$34)=0,0,1+((AO31&gt;AO34)+(AO31=AO34)*(AN31&gt;AN34)+(AO31=AO34)*(AN31=AN34)*(AL31&gt;AL34)+(AO31=AO34)*(AN31=AN34)*(AL31=AL34)*(31&lt;34))+((AO32&gt;AO34)+(AO32=AO34)*(AN32&gt;AN34)+(AO32=AO34)*(AN32=AN34)*(AL32&gt;AL34)+(AO32=AO34)*(AN32=AN34)*(AL32=AL34)*(32&lt;34))+((AO33&gt;AO34)+(AO33=AO34)*(AN33&gt;AN34)+(AO33=AO34)*(AN33=AN34)*(AL33&gt;AL34)+(AO33=AO34)*(AN33=AN34)*(AL33=AL34)*(33&lt;34)))</f>
        <v>0</v>
      </c>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row>
    <row r="35" spans="1:93" ht="15" customHeight="1">
      <c r="A35" s="34"/>
      <c r="B35" s="201"/>
      <c r="C35" s="212"/>
      <c r="D35" s="92"/>
      <c r="E35" s="92"/>
      <c r="F35" s="92"/>
      <c r="G35" s="92"/>
      <c r="H35" s="92"/>
      <c r="I35" s="92"/>
      <c r="J35" s="92"/>
      <c r="K35" s="92"/>
      <c r="L35" s="92"/>
      <c r="M35" s="92"/>
      <c r="N35" s="92"/>
      <c r="O35" s="92"/>
      <c r="P35" s="88"/>
      <c r="Q35" s="92"/>
      <c r="R35" s="92"/>
      <c r="S35" s="92"/>
      <c r="T35" s="92"/>
      <c r="U35" s="92"/>
      <c r="V35" s="92"/>
      <c r="W35" s="92"/>
      <c r="X35" s="92"/>
      <c r="Y35" s="92"/>
      <c r="Z35" s="92"/>
      <c r="AA35" s="92"/>
      <c r="AB35" s="92"/>
      <c r="AC35" s="88"/>
      <c r="AD35" s="92"/>
      <c r="AE35" s="92"/>
      <c r="AF35" s="92"/>
      <c r="AG35" s="92"/>
      <c r="AH35" s="92"/>
      <c r="AI35" s="92"/>
      <c r="AJ35" s="92"/>
      <c r="AK35" s="92"/>
      <c r="AL35" s="92"/>
      <c r="AM35" s="92"/>
      <c r="AN35" s="92"/>
      <c r="AO35" s="92"/>
      <c r="AP35" s="220"/>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row>
    <row r="36" spans="1:93" ht="7.5" customHeight="1">
      <c r="A36" s="34"/>
      <c r="B36" s="201"/>
      <c r="C36" s="212"/>
      <c r="D36" s="92"/>
      <c r="E36" s="92"/>
      <c r="F36" s="92"/>
      <c r="G36" s="92"/>
      <c r="H36" s="92"/>
      <c r="I36" s="92"/>
      <c r="J36" s="92"/>
      <c r="K36" s="92"/>
      <c r="L36" s="92"/>
      <c r="M36" s="92"/>
      <c r="N36" s="92"/>
      <c r="O36" s="92"/>
      <c r="P36" s="88"/>
      <c r="Q36" s="92"/>
      <c r="R36" s="92"/>
      <c r="S36" s="92"/>
      <c r="T36" s="92"/>
      <c r="U36" s="92"/>
      <c r="V36" s="92"/>
      <c r="W36" s="92"/>
      <c r="X36" s="92"/>
      <c r="Y36" s="92"/>
      <c r="Z36" s="92"/>
      <c r="AA36" s="92"/>
      <c r="AB36" s="92"/>
      <c r="AC36" s="88"/>
      <c r="AD36" s="92"/>
      <c r="AE36" s="92"/>
      <c r="AF36" s="92"/>
      <c r="AG36" s="92"/>
      <c r="AH36" s="92"/>
      <c r="AI36" s="92"/>
      <c r="AJ36" s="92"/>
      <c r="AK36" s="92"/>
      <c r="AL36" s="92"/>
      <c r="AM36" s="92"/>
      <c r="AN36" s="92"/>
      <c r="AO36" s="92"/>
      <c r="AP36" s="220"/>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row>
    <row r="37" spans="1:93" ht="7.5" customHeight="1">
      <c r="A37" s="34"/>
      <c r="B37" s="201"/>
      <c r="C37" s="212"/>
      <c r="D37" s="92"/>
      <c r="E37" s="92"/>
      <c r="F37" s="92"/>
      <c r="G37" s="92"/>
      <c r="H37" s="92"/>
      <c r="I37" s="92"/>
      <c r="J37" s="92"/>
      <c r="K37" s="92"/>
      <c r="L37" s="92"/>
      <c r="M37" s="92"/>
      <c r="N37" s="92"/>
      <c r="O37" s="92"/>
      <c r="P37" s="88"/>
      <c r="Q37" s="92"/>
      <c r="R37" s="92"/>
      <c r="S37" s="92"/>
      <c r="T37" s="92"/>
      <c r="U37" s="92"/>
      <c r="V37" s="92"/>
      <c r="W37" s="92"/>
      <c r="X37" s="92"/>
      <c r="Y37" s="92"/>
      <c r="Z37" s="92"/>
      <c r="AA37" s="92"/>
      <c r="AB37" s="92"/>
      <c r="AC37" s="88"/>
      <c r="AD37" s="92"/>
      <c r="AE37" s="92"/>
      <c r="AF37" s="92"/>
      <c r="AG37" s="92"/>
      <c r="AH37" s="92"/>
      <c r="AI37" s="92"/>
      <c r="AJ37" s="92"/>
      <c r="AK37" s="92"/>
      <c r="AL37" s="92"/>
      <c r="AM37" s="92"/>
      <c r="AN37" s="92"/>
      <c r="AO37" s="92"/>
      <c r="AP37" s="220"/>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row>
    <row r="38" spans="1:93" ht="16.5" customHeight="1">
      <c r="A38" s="34"/>
      <c r="B38" s="201"/>
      <c r="C38" s="212"/>
      <c r="D38" s="343" t="str">
        <f>VLOOKUP("group_prefix",langTable,MATCH(langName,_lang!$A$1:$F$1,0),FALSE())&amp;" J"</f>
        <v>GROUP J</v>
      </c>
      <c r="E38" s="267"/>
      <c r="F38" s="267"/>
      <c r="G38" s="267"/>
      <c r="H38" s="267"/>
      <c r="I38" s="267"/>
      <c r="J38" s="267"/>
      <c r="K38" s="267"/>
      <c r="L38" s="267"/>
      <c r="M38" s="267"/>
      <c r="N38" s="267"/>
      <c r="O38" s="267"/>
      <c r="P38" s="88"/>
      <c r="Q38" s="343" t="str">
        <f>VLOOKUP("group_prefix",langTable,MATCH(langName,_lang!$A$1:$F$1,0),FALSE())&amp;" K"</f>
        <v>GROUP K</v>
      </c>
      <c r="R38" s="267"/>
      <c r="S38" s="267"/>
      <c r="T38" s="267"/>
      <c r="U38" s="267"/>
      <c r="V38" s="267"/>
      <c r="W38" s="267"/>
      <c r="X38" s="267"/>
      <c r="Y38" s="267"/>
      <c r="Z38" s="267"/>
      <c r="AA38" s="267"/>
      <c r="AB38" s="267"/>
      <c r="AC38" s="88"/>
      <c r="AD38" s="343" t="str">
        <f>VLOOKUP("group_prefix",langTable,MATCH(langName,_lang!$A$1:$F$1,0),FALSE())&amp;" L"</f>
        <v>GROUP L</v>
      </c>
      <c r="AE38" s="267"/>
      <c r="AF38" s="267"/>
      <c r="AG38" s="267"/>
      <c r="AH38" s="267"/>
      <c r="AI38" s="267"/>
      <c r="AJ38" s="267"/>
      <c r="AK38" s="267"/>
      <c r="AL38" s="267"/>
      <c r="AM38" s="267"/>
      <c r="AN38" s="267"/>
      <c r="AO38" s="267"/>
      <c r="AP38" s="220"/>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row>
    <row r="39" spans="1:93" ht="15" customHeight="1">
      <c r="A39" s="34"/>
      <c r="B39" s="201"/>
      <c r="C39" s="212"/>
      <c r="D39" s="344" t="str">
        <f>VLOOKUP("hdr_team_uc",langTable,MATCH(langName,_lang!$A$1:$F$1,0),FALSE())</f>
        <v>TEAM</v>
      </c>
      <c r="E39" s="341"/>
      <c r="F39" s="341"/>
      <c r="G39" s="342"/>
      <c r="H39" s="90" t="str">
        <f>VLOOKUP("hdr_p",langTable,MATCH(langName,_lang!$A$1:$F$1,0),FALSE())</f>
        <v>P</v>
      </c>
      <c r="I39" s="90" t="str">
        <f>VLOOKUP("hdr_w",langTable,MATCH(langName,_lang!$A$1:$F$1,0),FALSE())</f>
        <v>W</v>
      </c>
      <c r="J39" s="90" t="str">
        <f>VLOOKUP("hdr_d",langTable,MATCH(langName,_lang!$A$1:$F$1,0),FALSE())</f>
        <v>D</v>
      </c>
      <c r="K39" s="90" t="str">
        <f>VLOOKUP("hdr_l",langTable,MATCH(langName,_lang!$A$1:$F$1,0),FALSE())</f>
        <v>L</v>
      </c>
      <c r="L39" s="90" t="str">
        <f>VLOOKUP("hdr_gf",langTable,MATCH(langName,_lang!$A$1:$F$1,0),FALSE())</f>
        <v>GF</v>
      </c>
      <c r="M39" s="90" t="str">
        <f>VLOOKUP("hdr_ga",langTable,MATCH(langName,_lang!$A$1:$F$1,0),FALSE())</f>
        <v>GA</v>
      </c>
      <c r="N39" s="90" t="str">
        <f>VLOOKUP("hdr_gd",langTable,MATCH(langName,_lang!$A$1:$F$1,0),FALSE())</f>
        <v>GD</v>
      </c>
      <c r="O39" s="90" t="str">
        <f>VLOOKUP("hdr_pts",langTable,MATCH(langName,_lang!$A$1:$F$1,0),FALSE())</f>
        <v>Pts</v>
      </c>
      <c r="P39" s="88"/>
      <c r="Q39" s="348" t="str">
        <f>VLOOKUP("hdr_team_uc",langTable,MATCH(langName,_lang!$A$1:$F$1,0),FALSE())</f>
        <v>TEAM</v>
      </c>
      <c r="R39" s="341"/>
      <c r="S39" s="341"/>
      <c r="T39" s="342"/>
      <c r="U39" s="89" t="str">
        <f>VLOOKUP("hdr_p",langTable,MATCH(langName,_lang!$A$1:$F$1,0),FALSE())</f>
        <v>P</v>
      </c>
      <c r="V39" s="89" t="str">
        <f>VLOOKUP("hdr_w",langTable,MATCH(langName,_lang!$A$1:$F$1,0),FALSE())</f>
        <v>W</v>
      </c>
      <c r="W39" s="89" t="str">
        <f>VLOOKUP("hdr_d",langTable,MATCH(langName,_lang!$A$1:$F$1,0),FALSE())</f>
        <v>D</v>
      </c>
      <c r="X39" s="89" t="str">
        <f>VLOOKUP("hdr_l",langTable,MATCH(langName,_lang!$A$1:$F$1,0),FALSE())</f>
        <v>L</v>
      </c>
      <c r="Y39" s="89" t="str">
        <f>VLOOKUP("hdr_gf",langTable,MATCH(langName,_lang!$A$1:$F$1,0),FALSE())</f>
        <v>GF</v>
      </c>
      <c r="Z39" s="89" t="str">
        <f>VLOOKUP("hdr_ga",langTable,MATCH(langName,_lang!$A$1:$F$1,0),FALSE())</f>
        <v>GA</v>
      </c>
      <c r="AA39" s="89" t="str">
        <f>VLOOKUP("hdr_gd",langTable,MATCH(langName,_lang!$A$1:$F$1,0),FALSE())</f>
        <v>GD</v>
      </c>
      <c r="AB39" s="89" t="str">
        <f>VLOOKUP("hdr_pts",langTable,MATCH(langName,_lang!$A$1:$F$1,0),FALSE())</f>
        <v>Pts</v>
      </c>
      <c r="AC39" s="88"/>
      <c r="AD39" s="344" t="str">
        <f>VLOOKUP("hdr_team_uc",langTable,MATCH(langName,_lang!$A$1:$F$1,0),FALSE())</f>
        <v>TEAM</v>
      </c>
      <c r="AE39" s="341"/>
      <c r="AF39" s="341"/>
      <c r="AG39" s="342"/>
      <c r="AH39" s="90" t="str">
        <f>VLOOKUP("hdr_p",langTable,MATCH(langName,_lang!$A$1:$F$1,0),FALSE())</f>
        <v>P</v>
      </c>
      <c r="AI39" s="90" t="str">
        <f>VLOOKUP("hdr_w",langTable,MATCH(langName,_lang!$A$1:$F$1,0),FALSE())</f>
        <v>W</v>
      </c>
      <c r="AJ39" s="90" t="str">
        <f>VLOOKUP("hdr_d",langTable,MATCH(langName,_lang!$A$1:$F$1,0),FALSE())</f>
        <v>D</v>
      </c>
      <c r="AK39" s="90" t="str">
        <f>VLOOKUP("hdr_l",langTable,MATCH(langName,_lang!$A$1:$F$1,0),FALSE())</f>
        <v>L</v>
      </c>
      <c r="AL39" s="90" t="str">
        <f>VLOOKUP("hdr_gf",langTable,MATCH(langName,_lang!$A$1:$F$1,0),FALSE())</f>
        <v>GF</v>
      </c>
      <c r="AM39" s="90" t="str">
        <f>VLOOKUP("hdr_ga",langTable,MATCH(langName,_lang!$A$1:$F$1,0),FALSE())</f>
        <v>GA</v>
      </c>
      <c r="AN39" s="90" t="str">
        <f>VLOOKUP("hdr_gd",langTable,MATCH(langName,_lang!$A$1:$F$1,0),FALSE())</f>
        <v>GD</v>
      </c>
      <c r="AO39" s="90" t="str">
        <f>VLOOKUP("hdr_pts",langTable,MATCH(langName,_lang!$A$1:$F$1,0),FALSE())</f>
        <v>Pts</v>
      </c>
      <c r="AP39" s="220"/>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row>
    <row r="40" spans="1:93" ht="15" customHeight="1">
      <c r="A40" s="34"/>
      <c r="B40" s="201"/>
      <c r="C40" s="212"/>
      <c r="D40" s="340" t="s">
        <v>68</v>
      </c>
      <c r="E40" s="341"/>
      <c r="F40" s="341"/>
      <c r="G40" s="342"/>
      <c r="H40" s="179">
        <f>SUMPRODUCT(('Predictions &amp; Results'!$H$12:$H$83="GJ")*'Predictions &amp; Results'!$T$12:$T$83*(('Predictions &amp; Results'!$I$12:$I$83=$D$40)+('Predictions &amp; Results'!$J$12:$J$83=$D$40)))</f>
        <v>0</v>
      </c>
      <c r="I40" s="179">
        <f>SUMPRODUCT(('Predictions &amp; Results'!$H$12:$H$83="GJ")*'Predictions &amp; Results'!$T$12:$T$83*(('Predictions &amp; Results'!$I$12:$I$83=$D$40)*('Predictions &amp; Results'!$R$12:$R$83&gt;'Predictions &amp; Results'!$S$12:$S$83)+('Predictions &amp; Results'!$J$12:$J$83=$D$40)*('Predictions &amp; Results'!$S$12:$S$83&gt;'Predictions &amp; Results'!$R$12:$R$83)))</f>
        <v>0</v>
      </c>
      <c r="J40" s="179">
        <f>SUMPRODUCT(('Predictions &amp; Results'!$H$12:$H$83="GJ")*'Predictions &amp; Results'!$T$12:$T$83*(('Predictions &amp; Results'!$I$12:$I$83=$D$40)+('Predictions &amp; Results'!$J$12:$J$83=$D$40))*('Predictions &amp; Results'!$R$12:$R$83='Predictions &amp; Results'!$S$12:$S$83))</f>
        <v>0</v>
      </c>
      <c r="K40" s="179">
        <f>SUMPRODUCT(('Predictions &amp; Results'!$H$12:$H$83="GJ")*'Predictions &amp; Results'!$T$12:$T$83*(('Predictions &amp; Results'!$I$12:$I$83=$D$40)*('Predictions &amp; Results'!$R$12:$R$83&lt;'Predictions &amp; Results'!$S$12:$S$83)+('Predictions &amp; Results'!$J$12:$J$83=$D$40)*('Predictions &amp; Results'!$S$12:$S$83&lt;'Predictions &amp; Results'!$R$12:$R$83)))</f>
        <v>0</v>
      </c>
      <c r="L40" s="179">
        <f>SUMPRODUCT(('Predictions &amp; Results'!$H$12:$H$83="GJ")*'Predictions &amp; Results'!$T$12:$T$83*(('Predictions &amp; Results'!$I$12:$I$83=$D$40)*'Predictions &amp; Results'!$R$12:$R$83+('Predictions &amp; Results'!$J$12:$J$83=$D$40)*'Predictions &amp; Results'!$S$12:$S$83))</f>
        <v>0</v>
      </c>
      <c r="M40" s="179">
        <f>SUMPRODUCT(('Predictions &amp; Results'!$H$12:$H$83="GJ")*'Predictions &amp; Results'!$T$12:$T$83*(('Predictions &amp; Results'!$I$12:$I$83=$D$40)*'Predictions &amp; Results'!$S$12:$S$83+('Predictions &amp; Results'!$J$12:$J$83=$D$40)*'Predictions &amp; Results'!$R$12:$R$83))</f>
        <v>0</v>
      </c>
      <c r="N40" s="179">
        <f>L40-M40</f>
        <v>0</v>
      </c>
      <c r="O40" s="179">
        <f>I40*3+J40</f>
        <v>0</v>
      </c>
      <c r="P40" s="91">
        <f>IF(SUM($H$40:$H$43)=0,0,1+((O41&gt;O40)+(O41=O40)*(N41&gt;N40)+(O41=O40)*(N41=N40)*(L41&gt;L40)+(O41=O40)*(N41=N40)*(L41=L40)*(41&lt;40))+((O42&gt;O40)+(O42=O40)*(N42&gt;N40)+(O42=O40)*(N42=N40)*(L42&gt;L40)+(O42=O40)*(N42=N40)*(L42=L40)*(42&lt;40))+((O43&gt;O40)+(O43=O40)*(N43&gt;N40)+(O43=O40)*(N43=N40)*(L43&gt;L40)+(O43=O40)*(N43=N40)*(L43=L40)*(43&lt;40)))</f>
        <v>0</v>
      </c>
      <c r="Q40" s="349" t="s">
        <v>74</v>
      </c>
      <c r="R40" s="341"/>
      <c r="S40" s="341"/>
      <c r="T40" s="342"/>
      <c r="U40" s="180">
        <f>SUMPRODUCT(('Predictions &amp; Results'!$H$12:$H$83="GK")*'Predictions &amp; Results'!$T$12:$T$83*(('Predictions &amp; Results'!$I$12:$I$83=$Q$40)+('Predictions &amp; Results'!$J$12:$J$83=$Q$40)))</f>
        <v>0</v>
      </c>
      <c r="V40" s="180">
        <f>SUMPRODUCT(('Predictions &amp; Results'!$H$12:$H$83="GK")*'Predictions &amp; Results'!$T$12:$T$83*(('Predictions &amp; Results'!$I$12:$I$83=$Q$40)*('Predictions &amp; Results'!$R$12:$R$83&gt;'Predictions &amp; Results'!$S$12:$S$83)+('Predictions &amp; Results'!$J$12:$J$83=$Q$40)*('Predictions &amp; Results'!$S$12:$S$83&gt;'Predictions &amp; Results'!$R$12:$R$83)))</f>
        <v>0</v>
      </c>
      <c r="W40" s="180">
        <f>SUMPRODUCT(('Predictions &amp; Results'!$H$12:$H$83="GK")*'Predictions &amp; Results'!$T$12:$T$83*(('Predictions &amp; Results'!$I$12:$I$83=$Q$40)+('Predictions &amp; Results'!$J$12:$J$83=$Q$40))*('Predictions &amp; Results'!$R$12:$R$83='Predictions &amp; Results'!$S$12:$S$83))</f>
        <v>0</v>
      </c>
      <c r="X40" s="180">
        <f>SUMPRODUCT(('Predictions &amp; Results'!$H$12:$H$83="GK")*'Predictions &amp; Results'!$T$12:$T$83*(('Predictions &amp; Results'!$I$12:$I$83=$Q$40)*('Predictions &amp; Results'!$R$12:$R$83&lt;'Predictions &amp; Results'!$S$12:$S$83)+('Predictions &amp; Results'!$J$12:$J$83=$Q$40)*('Predictions &amp; Results'!$S$12:$S$83&lt;'Predictions &amp; Results'!$R$12:$R$83)))</f>
        <v>0</v>
      </c>
      <c r="Y40" s="180">
        <f>SUMPRODUCT(('Predictions &amp; Results'!$H$12:$H$83="GK")*'Predictions &amp; Results'!$T$12:$T$83*(('Predictions &amp; Results'!$I$12:$I$83=$Q$40)*'Predictions &amp; Results'!$R$12:$R$83+('Predictions &amp; Results'!$J$12:$J$83=$Q$40)*'Predictions &amp; Results'!$S$12:$S$83))</f>
        <v>0</v>
      </c>
      <c r="Z40" s="180">
        <f>SUMPRODUCT(('Predictions &amp; Results'!$H$12:$H$83="GK")*'Predictions &amp; Results'!$T$12:$T$83*(('Predictions &amp; Results'!$I$12:$I$83=$Q$40)*'Predictions &amp; Results'!$S$12:$S$83+('Predictions &amp; Results'!$J$12:$J$83=$Q$40)*'Predictions &amp; Results'!$R$12:$R$83))</f>
        <v>0</v>
      </c>
      <c r="AA40" s="180">
        <f>Y40-Z40</f>
        <v>0</v>
      </c>
      <c r="AB40" s="180">
        <f>V40*3+W40</f>
        <v>0</v>
      </c>
      <c r="AC40" s="91">
        <f>IF(SUM($U$40:$U$43)=0,0,1+((AB41&gt;AB40)+(AB41=AB40)*(AA41&gt;AA40)+(AB41=AB40)*(AA41=AA40)*(Y41&gt;Y40)+(AB41=AB40)*(AA41=AA40)*(Y41=Y40)*(41&lt;40))+((AB42&gt;AB40)+(AB42=AB40)*(AA42&gt;AA40)+(AB42=AB40)*(AA42=AA40)*(Y42&gt;Y40)+(AB42=AB40)*(AA42=AA40)*(Y42=Y40)*(42&lt;40))+((AB43&gt;AB40)+(AB43=AB40)*(AA43&gt;AA40)+(AB43=AB40)*(AA43=AA40)*(Y43&gt;Y40)+(AB43=AB40)*(AA43=AA40)*(Y43=Y40)*(43&lt;40)))</f>
        <v>0</v>
      </c>
      <c r="AD40" s="340" t="s">
        <v>77</v>
      </c>
      <c r="AE40" s="341"/>
      <c r="AF40" s="341"/>
      <c r="AG40" s="342"/>
      <c r="AH40" s="179">
        <f>SUMPRODUCT(('Predictions &amp; Results'!$H$12:$H$83="GL")*'Predictions &amp; Results'!$T$12:$T$83*(('Predictions &amp; Results'!$I$12:$I$83=$AD$40)+('Predictions &amp; Results'!$J$12:$J$83=$AD$40)))</f>
        <v>0</v>
      </c>
      <c r="AI40" s="179">
        <f>SUMPRODUCT(('Predictions &amp; Results'!$H$12:$H$83="GL")*'Predictions &amp; Results'!$T$12:$T$83*(('Predictions &amp; Results'!$I$12:$I$83=$AD$40)*('Predictions &amp; Results'!$R$12:$R$83&gt;'Predictions &amp; Results'!$S$12:$S$83)+('Predictions &amp; Results'!$J$12:$J$83=$AD$40)*('Predictions &amp; Results'!$S$12:$S$83&gt;'Predictions &amp; Results'!$R$12:$R$83)))</f>
        <v>0</v>
      </c>
      <c r="AJ40" s="179">
        <f>SUMPRODUCT(('Predictions &amp; Results'!$H$12:$H$83="GL")*'Predictions &amp; Results'!$T$12:$T$83*(('Predictions &amp; Results'!$I$12:$I$83=$AD$40)+('Predictions &amp; Results'!$J$12:$J$83=$AD$40))*('Predictions &amp; Results'!$R$12:$R$83='Predictions &amp; Results'!$S$12:$S$83))</f>
        <v>0</v>
      </c>
      <c r="AK40" s="179">
        <f>SUMPRODUCT(('Predictions &amp; Results'!$H$12:$H$83="GL")*'Predictions &amp; Results'!$T$12:$T$83*(('Predictions &amp; Results'!$I$12:$I$83=$AD$40)*('Predictions &amp; Results'!$R$12:$R$83&lt;'Predictions &amp; Results'!$S$12:$S$83)+('Predictions &amp; Results'!$J$12:$J$83=$AD$40)*('Predictions &amp; Results'!$S$12:$S$83&lt;'Predictions &amp; Results'!$R$12:$R$83)))</f>
        <v>0</v>
      </c>
      <c r="AL40" s="179">
        <f>SUMPRODUCT(('Predictions &amp; Results'!$H$12:$H$83="GL")*'Predictions &amp; Results'!$T$12:$T$83*(('Predictions &amp; Results'!$I$12:$I$83=$AD$40)*'Predictions &amp; Results'!$R$12:$R$83+('Predictions &amp; Results'!$J$12:$J$83=$AD$40)*'Predictions &amp; Results'!$S$12:$S$83))</f>
        <v>0</v>
      </c>
      <c r="AM40" s="179">
        <f>SUMPRODUCT(('Predictions &amp; Results'!$H$12:$H$83="GL")*'Predictions &amp; Results'!$T$12:$T$83*(('Predictions &amp; Results'!$I$12:$I$83=$AD$40)*'Predictions &amp; Results'!$S$12:$S$83+('Predictions &amp; Results'!$J$12:$J$83=$AD$40)*'Predictions &amp; Results'!$R$12:$R$83))</f>
        <v>0</v>
      </c>
      <c r="AN40" s="179">
        <f>AL40-AM40</f>
        <v>0</v>
      </c>
      <c r="AO40" s="179">
        <f>AI40*3+AJ40</f>
        <v>0</v>
      </c>
      <c r="AP40" s="222">
        <f>IF(SUM($AH$40:$AH$43)=0,0,1+((AO41&gt;AO40)+(AO41=AO40)*(AN41&gt;AN40)+(AO41=AO40)*(AN41=AN40)*(AL41&gt;AL40)+(AO41=AO40)*(AN41=AN40)*(AL41=AL40)*(41&lt;40))+((AO42&gt;AO40)+(AO42=AO40)*(AN42&gt;AN40)+(AO42=AO40)*(AN42=AN40)*(AL42&gt;AL40)+(AO42=AO40)*(AN42=AN40)*(AL42=AL40)*(42&lt;40))+((AO43&gt;AO40)+(AO43=AO40)*(AN43&gt;AN40)+(AO43=AO40)*(AN43=AN40)*(AL43&gt;AL40)+(AO43=AO40)*(AN43=AN40)*(AL43=AL40)*(43&lt;40)))</f>
        <v>0</v>
      </c>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row>
    <row r="41" spans="1:93" ht="15" customHeight="1">
      <c r="A41" s="34"/>
      <c r="B41" s="201"/>
      <c r="C41" s="212"/>
      <c r="D41" s="340" t="s">
        <v>69</v>
      </c>
      <c r="E41" s="341"/>
      <c r="F41" s="341"/>
      <c r="G41" s="342"/>
      <c r="H41" s="179">
        <f>SUMPRODUCT(('Predictions &amp; Results'!$H$12:$H$83="GJ")*'Predictions &amp; Results'!$T$12:$T$83*(('Predictions &amp; Results'!$I$12:$I$83=$D$41)+('Predictions &amp; Results'!$J$12:$J$83=$D$41)))</f>
        <v>0</v>
      </c>
      <c r="I41" s="179">
        <f>SUMPRODUCT(('Predictions &amp; Results'!$H$12:$H$83="GJ")*'Predictions &amp; Results'!$T$12:$T$83*(('Predictions &amp; Results'!$I$12:$I$83=$D$41)*('Predictions &amp; Results'!$R$12:$R$83&gt;'Predictions &amp; Results'!$S$12:$S$83)+('Predictions &amp; Results'!$J$12:$J$83=$D$41)*('Predictions &amp; Results'!$S$12:$S$83&gt;'Predictions &amp; Results'!$R$12:$R$83)))</f>
        <v>0</v>
      </c>
      <c r="J41" s="179">
        <f>SUMPRODUCT(('Predictions &amp; Results'!$H$12:$H$83="GJ")*'Predictions &amp; Results'!$T$12:$T$83*(('Predictions &amp; Results'!$I$12:$I$83=$D$41)+('Predictions &amp; Results'!$J$12:$J$83=$D$41))*('Predictions &amp; Results'!$R$12:$R$83='Predictions &amp; Results'!$S$12:$S$83))</f>
        <v>0</v>
      </c>
      <c r="K41" s="179">
        <f>SUMPRODUCT(('Predictions &amp; Results'!$H$12:$H$83="GJ")*'Predictions &amp; Results'!$T$12:$T$83*(('Predictions &amp; Results'!$I$12:$I$83=$D$41)*('Predictions &amp; Results'!$R$12:$R$83&lt;'Predictions &amp; Results'!$S$12:$S$83)+('Predictions &amp; Results'!$J$12:$J$83=$D$41)*('Predictions &amp; Results'!$S$12:$S$83&lt;'Predictions &amp; Results'!$R$12:$R$83)))</f>
        <v>0</v>
      </c>
      <c r="L41" s="179">
        <f>SUMPRODUCT(('Predictions &amp; Results'!$H$12:$H$83="GJ")*'Predictions &amp; Results'!$T$12:$T$83*(('Predictions &amp; Results'!$I$12:$I$83=$D$41)*'Predictions &amp; Results'!$R$12:$R$83+('Predictions &amp; Results'!$J$12:$J$83=$D$41)*'Predictions &amp; Results'!$S$12:$S$83))</f>
        <v>0</v>
      </c>
      <c r="M41" s="179">
        <f>SUMPRODUCT(('Predictions &amp; Results'!$H$12:$H$83="GJ")*'Predictions &amp; Results'!$T$12:$T$83*(('Predictions &amp; Results'!$I$12:$I$83=$D$41)*'Predictions &amp; Results'!$S$12:$S$83+('Predictions &amp; Results'!$J$12:$J$83=$D$41)*'Predictions &amp; Results'!$R$12:$R$83))</f>
        <v>0</v>
      </c>
      <c r="N41" s="179">
        <f>L41-M41</f>
        <v>0</v>
      </c>
      <c r="O41" s="179">
        <f>I41*3+J41</f>
        <v>0</v>
      </c>
      <c r="P41" s="91">
        <f>IF(SUM($H$40:$H$43)=0,0,1+((O40&gt;O41)+(O40=O41)*(N40&gt;N41)+(O40=O41)*(N40=N41)*(L40&gt;L41)+(O40=O41)*(N40=N41)*(L40=L41)*(40&lt;41))+((O42&gt;O41)+(O42=O41)*(N42&gt;N41)+(O42=O41)*(N42=N41)*(L42&gt;L41)+(O42=O41)*(N42=N41)*(L42=L41)*(42&lt;41))+((O43&gt;O41)+(O43=O41)*(N43&gt;N41)+(O43=O41)*(N43=N41)*(L43&gt;L41)+(O43=O41)*(N43=N41)*(L43=L41)*(43&lt;41)))</f>
        <v>0</v>
      </c>
      <c r="Q41" s="349" t="s">
        <v>75</v>
      </c>
      <c r="R41" s="341"/>
      <c r="S41" s="341"/>
      <c r="T41" s="342"/>
      <c r="U41" s="180">
        <f>SUMPRODUCT(('Predictions &amp; Results'!$H$12:$H$83="GK")*'Predictions &amp; Results'!$T$12:$T$83*(('Predictions &amp; Results'!$I$12:$I$83=$Q$41)+('Predictions &amp; Results'!$J$12:$J$83=$Q$41)))</f>
        <v>0</v>
      </c>
      <c r="V41" s="180">
        <f>SUMPRODUCT(('Predictions &amp; Results'!$H$12:$H$83="GK")*'Predictions &amp; Results'!$T$12:$T$83*(('Predictions &amp; Results'!$I$12:$I$83=$Q$41)*('Predictions &amp; Results'!$R$12:$R$83&gt;'Predictions &amp; Results'!$S$12:$S$83)+('Predictions &amp; Results'!$J$12:$J$83=$Q$41)*('Predictions &amp; Results'!$S$12:$S$83&gt;'Predictions &amp; Results'!$R$12:$R$83)))</f>
        <v>0</v>
      </c>
      <c r="W41" s="180">
        <f>SUMPRODUCT(('Predictions &amp; Results'!$H$12:$H$83="GK")*'Predictions &amp; Results'!$T$12:$T$83*(('Predictions &amp; Results'!$I$12:$I$83=$Q$41)+('Predictions &amp; Results'!$J$12:$J$83=$Q$41))*('Predictions &amp; Results'!$R$12:$R$83='Predictions &amp; Results'!$S$12:$S$83))</f>
        <v>0</v>
      </c>
      <c r="X41" s="180">
        <f>SUMPRODUCT(('Predictions &amp; Results'!$H$12:$H$83="GK")*'Predictions &amp; Results'!$T$12:$T$83*(('Predictions &amp; Results'!$I$12:$I$83=$Q$41)*('Predictions &amp; Results'!$R$12:$R$83&lt;'Predictions &amp; Results'!$S$12:$S$83)+('Predictions &amp; Results'!$J$12:$J$83=$Q$41)*('Predictions &amp; Results'!$S$12:$S$83&lt;'Predictions &amp; Results'!$R$12:$R$83)))</f>
        <v>0</v>
      </c>
      <c r="Y41" s="180">
        <f>SUMPRODUCT(('Predictions &amp; Results'!$H$12:$H$83="GK")*'Predictions &amp; Results'!$T$12:$T$83*(('Predictions &amp; Results'!$I$12:$I$83=$Q$41)*'Predictions &amp; Results'!$R$12:$R$83+('Predictions &amp; Results'!$J$12:$J$83=$Q$41)*'Predictions &amp; Results'!$S$12:$S$83))</f>
        <v>0</v>
      </c>
      <c r="Z41" s="180">
        <f>SUMPRODUCT(('Predictions &amp; Results'!$H$12:$H$83="GK")*'Predictions &amp; Results'!$T$12:$T$83*(('Predictions &amp; Results'!$I$12:$I$83=$Q$41)*'Predictions &amp; Results'!$S$12:$S$83+('Predictions &amp; Results'!$J$12:$J$83=$Q$41)*'Predictions &amp; Results'!$R$12:$R$83))</f>
        <v>0</v>
      </c>
      <c r="AA41" s="180">
        <f>Y41-Z41</f>
        <v>0</v>
      </c>
      <c r="AB41" s="180">
        <f>V41*3+W41</f>
        <v>0</v>
      </c>
      <c r="AC41" s="91">
        <f>IF(SUM($U$40:$U$43)=0,0,1+((AB40&gt;AB41)+(AB40=AB41)*(AA40&gt;AA41)+(AB40=AB41)*(AA40=AA41)*(Y40&gt;Y41)+(AB40=AB41)*(AA40=AA41)*(Y40=Y41)*(40&lt;41))+((AB42&gt;AB41)+(AB42=AB41)*(AA42&gt;AA41)+(AB42=AB41)*(AA42=AA41)*(Y42&gt;Y41)+(AB42=AB41)*(AA42=AA41)*(Y42=Y41)*(42&lt;41))+((AB43&gt;AB41)+(AB43=AB41)*(AA43&gt;AA41)+(AB43=AB41)*(AA43=AA41)*(Y43&gt;Y41)+(AB43=AB41)*(AA43=AA41)*(Y43=Y41)*(43&lt;41)))</f>
        <v>0</v>
      </c>
      <c r="AD41" s="340" t="s">
        <v>78</v>
      </c>
      <c r="AE41" s="341"/>
      <c r="AF41" s="341"/>
      <c r="AG41" s="342"/>
      <c r="AH41" s="179">
        <f>SUMPRODUCT(('Predictions &amp; Results'!$H$12:$H$83="GL")*'Predictions &amp; Results'!$T$12:$T$83*(('Predictions &amp; Results'!$I$12:$I$83=$AD$41)+('Predictions &amp; Results'!$J$12:$J$83=$AD$41)))</f>
        <v>0</v>
      </c>
      <c r="AI41" s="179">
        <f>SUMPRODUCT(('Predictions &amp; Results'!$H$12:$H$83="GL")*'Predictions &amp; Results'!$T$12:$T$83*(('Predictions &amp; Results'!$I$12:$I$83=$AD$41)*('Predictions &amp; Results'!$R$12:$R$83&gt;'Predictions &amp; Results'!$S$12:$S$83)+('Predictions &amp; Results'!$J$12:$J$83=$AD$41)*('Predictions &amp; Results'!$S$12:$S$83&gt;'Predictions &amp; Results'!$R$12:$R$83)))</f>
        <v>0</v>
      </c>
      <c r="AJ41" s="179">
        <f>SUMPRODUCT(('Predictions &amp; Results'!$H$12:$H$83="GL")*'Predictions &amp; Results'!$T$12:$T$83*(('Predictions &amp; Results'!$I$12:$I$83=$AD$41)+('Predictions &amp; Results'!$J$12:$J$83=$AD$41))*('Predictions &amp; Results'!$R$12:$R$83='Predictions &amp; Results'!$S$12:$S$83))</f>
        <v>0</v>
      </c>
      <c r="AK41" s="179">
        <f>SUMPRODUCT(('Predictions &amp; Results'!$H$12:$H$83="GL")*'Predictions &amp; Results'!$T$12:$T$83*(('Predictions &amp; Results'!$I$12:$I$83=$AD$41)*('Predictions &amp; Results'!$R$12:$R$83&lt;'Predictions &amp; Results'!$S$12:$S$83)+('Predictions &amp; Results'!$J$12:$J$83=$AD$41)*('Predictions &amp; Results'!$S$12:$S$83&lt;'Predictions &amp; Results'!$R$12:$R$83)))</f>
        <v>0</v>
      </c>
      <c r="AL41" s="179">
        <f>SUMPRODUCT(('Predictions &amp; Results'!$H$12:$H$83="GL")*'Predictions &amp; Results'!$T$12:$T$83*(('Predictions &amp; Results'!$I$12:$I$83=$AD$41)*'Predictions &amp; Results'!$R$12:$R$83+('Predictions &amp; Results'!$J$12:$J$83=$AD$41)*'Predictions &amp; Results'!$S$12:$S$83))</f>
        <v>0</v>
      </c>
      <c r="AM41" s="179">
        <f>SUMPRODUCT(('Predictions &amp; Results'!$H$12:$H$83="GL")*'Predictions &amp; Results'!$T$12:$T$83*(('Predictions &amp; Results'!$I$12:$I$83=$AD$41)*'Predictions &amp; Results'!$S$12:$S$83+('Predictions &amp; Results'!$J$12:$J$83=$AD$41)*'Predictions &amp; Results'!$R$12:$R$83))</f>
        <v>0</v>
      </c>
      <c r="AN41" s="179">
        <f>AL41-AM41</f>
        <v>0</v>
      </c>
      <c r="AO41" s="179">
        <f>AI41*3+AJ41</f>
        <v>0</v>
      </c>
      <c r="AP41" s="222">
        <f>IF(SUM($AH$40:$AH$43)=0,0,1+((AO40&gt;AO41)+(AO40=AO41)*(AN40&gt;AN41)+(AO40=AO41)*(AN40=AN41)*(AL40&gt;AL41)+(AO40=AO41)*(AN40=AN41)*(AL40=AL41)*(40&lt;41))+((AO42&gt;AO41)+(AO42=AO41)*(AN42&gt;AN41)+(AO42=AO41)*(AN42=AN41)*(AL42&gt;AL41)+(AO42=AO41)*(AN42=AN41)*(AL42=AL41)*(42&lt;41))+((AO43&gt;AO41)+(AO43=AO41)*(AN43&gt;AN41)+(AO43=AO41)*(AN43=AN41)*(AL43&gt;AL41)+(AO43=AO41)*(AN43=AN41)*(AL43=AL41)*(43&lt;41)))</f>
        <v>0</v>
      </c>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row>
    <row r="42" spans="1:93" ht="15" customHeight="1">
      <c r="A42" s="34"/>
      <c r="B42" s="201"/>
      <c r="C42" s="212"/>
      <c r="D42" s="340" t="s">
        <v>71</v>
      </c>
      <c r="E42" s="341"/>
      <c r="F42" s="341"/>
      <c r="G42" s="342"/>
      <c r="H42" s="179">
        <f>SUMPRODUCT(('Predictions &amp; Results'!$H$12:$H$83="GJ")*'Predictions &amp; Results'!$T$12:$T$83*(('Predictions &amp; Results'!$I$12:$I$83=$D$42)+('Predictions &amp; Results'!$J$12:$J$83=$D$42)))</f>
        <v>0</v>
      </c>
      <c r="I42" s="179">
        <f>SUMPRODUCT(('Predictions &amp; Results'!$H$12:$H$83="GJ")*'Predictions &amp; Results'!$T$12:$T$83*(('Predictions &amp; Results'!$I$12:$I$83=$D$42)*('Predictions &amp; Results'!$R$12:$R$83&gt;'Predictions &amp; Results'!$S$12:$S$83)+('Predictions &amp; Results'!$J$12:$J$83=$D$42)*('Predictions &amp; Results'!$S$12:$S$83&gt;'Predictions &amp; Results'!$R$12:$R$83)))</f>
        <v>0</v>
      </c>
      <c r="J42" s="179">
        <f>SUMPRODUCT(('Predictions &amp; Results'!$H$12:$H$83="GJ")*'Predictions &amp; Results'!$T$12:$T$83*(('Predictions &amp; Results'!$I$12:$I$83=$D$42)+('Predictions &amp; Results'!$J$12:$J$83=$D$42))*('Predictions &amp; Results'!$R$12:$R$83='Predictions &amp; Results'!$S$12:$S$83))</f>
        <v>0</v>
      </c>
      <c r="K42" s="179">
        <f>SUMPRODUCT(('Predictions &amp; Results'!$H$12:$H$83="GJ")*'Predictions &amp; Results'!$T$12:$T$83*(('Predictions &amp; Results'!$I$12:$I$83=$D$42)*('Predictions &amp; Results'!$R$12:$R$83&lt;'Predictions &amp; Results'!$S$12:$S$83)+('Predictions &amp; Results'!$J$12:$J$83=$D$42)*('Predictions &amp; Results'!$S$12:$S$83&lt;'Predictions &amp; Results'!$R$12:$R$83)))</f>
        <v>0</v>
      </c>
      <c r="L42" s="179">
        <f>SUMPRODUCT(('Predictions &amp; Results'!$H$12:$H$83="GJ")*'Predictions &amp; Results'!$T$12:$T$83*(('Predictions &amp; Results'!$I$12:$I$83=$D$42)*'Predictions &amp; Results'!$R$12:$R$83+('Predictions &amp; Results'!$J$12:$J$83=$D$42)*'Predictions &amp; Results'!$S$12:$S$83))</f>
        <v>0</v>
      </c>
      <c r="M42" s="179">
        <f>SUMPRODUCT(('Predictions &amp; Results'!$H$12:$H$83="GJ")*'Predictions &amp; Results'!$T$12:$T$83*(('Predictions &amp; Results'!$I$12:$I$83=$D$42)*'Predictions &amp; Results'!$S$12:$S$83+('Predictions &amp; Results'!$J$12:$J$83=$D$42)*'Predictions &amp; Results'!$R$12:$R$83))</f>
        <v>0</v>
      </c>
      <c r="N42" s="179">
        <f>L42-M42</f>
        <v>0</v>
      </c>
      <c r="O42" s="179">
        <f>I42*3+J42</f>
        <v>0</v>
      </c>
      <c r="P42" s="91">
        <f>IF(SUM($H$40:$H$43)=0,0,1+((O40&gt;O42)+(O40=O42)*(N40&gt;N42)+(O40=O42)*(N40=N42)*(L40&gt;L42)+(O40=O42)*(N40=N42)*(L40=L42)*(40&lt;42))+((O41&gt;O42)+(O41=O42)*(N41&gt;N42)+(O41=O42)*(N41=N42)*(L41&gt;L42)+(O41=O42)*(N41=N42)*(L41=L42)*(41&lt;42))+((O43&gt;O42)+(O43=O42)*(N43&gt;N42)+(O43=O42)*(N43=N42)*(L43&gt;L42)+(O43=O42)*(N43=N42)*(L43=L42)*(43&lt;42)))</f>
        <v>0</v>
      </c>
      <c r="Q42" s="349" t="s">
        <v>81</v>
      </c>
      <c r="R42" s="341"/>
      <c r="S42" s="341"/>
      <c r="T42" s="342"/>
      <c r="U42" s="180">
        <f>SUMPRODUCT(('Predictions &amp; Results'!$H$12:$H$83="GK")*'Predictions &amp; Results'!$T$12:$T$83*(('Predictions &amp; Results'!$I$12:$I$83=$Q$42)+('Predictions &amp; Results'!$J$12:$J$83=$Q$42)))</f>
        <v>0</v>
      </c>
      <c r="V42" s="180">
        <f>SUMPRODUCT(('Predictions &amp; Results'!$H$12:$H$83="GK")*'Predictions &amp; Results'!$T$12:$T$83*(('Predictions &amp; Results'!$I$12:$I$83=$Q$42)*('Predictions &amp; Results'!$R$12:$R$83&gt;'Predictions &amp; Results'!$S$12:$S$83)+('Predictions &amp; Results'!$J$12:$J$83=$Q$42)*('Predictions &amp; Results'!$S$12:$S$83&gt;'Predictions &amp; Results'!$R$12:$R$83)))</f>
        <v>0</v>
      </c>
      <c r="W42" s="180">
        <f>SUMPRODUCT(('Predictions &amp; Results'!$H$12:$H$83="GK")*'Predictions &amp; Results'!$T$12:$T$83*(('Predictions &amp; Results'!$I$12:$I$83=$Q$42)+('Predictions &amp; Results'!$J$12:$J$83=$Q$42))*('Predictions &amp; Results'!$R$12:$R$83='Predictions &amp; Results'!$S$12:$S$83))</f>
        <v>0</v>
      </c>
      <c r="X42" s="180">
        <f>SUMPRODUCT(('Predictions &amp; Results'!$H$12:$H$83="GK")*'Predictions &amp; Results'!$T$12:$T$83*(('Predictions &amp; Results'!$I$12:$I$83=$Q$42)*('Predictions &amp; Results'!$R$12:$R$83&lt;'Predictions &amp; Results'!$S$12:$S$83)+('Predictions &amp; Results'!$J$12:$J$83=$Q$42)*('Predictions &amp; Results'!$S$12:$S$83&lt;'Predictions &amp; Results'!$R$12:$R$83)))</f>
        <v>0</v>
      </c>
      <c r="Y42" s="180">
        <f>SUMPRODUCT(('Predictions &amp; Results'!$H$12:$H$83="GK")*'Predictions &amp; Results'!$T$12:$T$83*(('Predictions &amp; Results'!$I$12:$I$83=$Q$42)*'Predictions &amp; Results'!$R$12:$R$83+('Predictions &amp; Results'!$J$12:$J$83=$Q$42)*'Predictions &amp; Results'!$S$12:$S$83))</f>
        <v>0</v>
      </c>
      <c r="Z42" s="180">
        <f>SUMPRODUCT(('Predictions &amp; Results'!$H$12:$H$83="GK")*'Predictions &amp; Results'!$T$12:$T$83*(('Predictions &amp; Results'!$I$12:$I$83=$Q$42)*'Predictions &amp; Results'!$S$12:$S$83+('Predictions &amp; Results'!$J$12:$J$83=$Q$42)*'Predictions &amp; Results'!$R$12:$R$83))</f>
        <v>0</v>
      </c>
      <c r="AA42" s="180">
        <f>Y42-Z42</f>
        <v>0</v>
      </c>
      <c r="AB42" s="180">
        <f>V42*3+W42</f>
        <v>0</v>
      </c>
      <c r="AC42" s="91">
        <f>IF(SUM($U$40:$U$43)=0,0,1+((AB40&gt;AB42)+(AB40=AB42)*(AA40&gt;AA42)+(AB40=AB42)*(AA40=AA42)*(Y40&gt;Y42)+(AB40=AB42)*(AA40=AA42)*(Y40=Y42)*(40&lt;42))+((AB41&gt;AB42)+(AB41=AB42)*(AA41&gt;AA42)+(AB41=AB42)*(AA41=AA42)*(Y41&gt;Y42)+(AB41=AB42)*(AA41=AA42)*(Y41=Y42)*(41&lt;42))+((AB43&gt;AB42)+(AB43=AB42)*(AA43&gt;AA42)+(AB43=AB42)*(AA43=AA42)*(Y43&gt;Y42)+(AB43=AB42)*(AA43=AA42)*(Y43=Y42)*(43&lt;42)))</f>
        <v>0</v>
      </c>
      <c r="AD42" s="340" t="s">
        <v>79</v>
      </c>
      <c r="AE42" s="341"/>
      <c r="AF42" s="341"/>
      <c r="AG42" s="342"/>
      <c r="AH42" s="179">
        <f>SUMPRODUCT(('Predictions &amp; Results'!$H$12:$H$83="GL")*'Predictions &amp; Results'!$T$12:$T$83*(('Predictions &amp; Results'!$I$12:$I$83=$AD$42)+('Predictions &amp; Results'!$J$12:$J$83=$AD$42)))</f>
        <v>0</v>
      </c>
      <c r="AI42" s="179">
        <f>SUMPRODUCT(('Predictions &amp; Results'!$H$12:$H$83="GL")*'Predictions &amp; Results'!$T$12:$T$83*(('Predictions &amp; Results'!$I$12:$I$83=$AD$42)*('Predictions &amp; Results'!$R$12:$R$83&gt;'Predictions &amp; Results'!$S$12:$S$83)+('Predictions &amp; Results'!$J$12:$J$83=$AD$42)*('Predictions &amp; Results'!$S$12:$S$83&gt;'Predictions &amp; Results'!$R$12:$R$83)))</f>
        <v>0</v>
      </c>
      <c r="AJ42" s="179">
        <f>SUMPRODUCT(('Predictions &amp; Results'!$H$12:$H$83="GL")*'Predictions &amp; Results'!$T$12:$T$83*(('Predictions &amp; Results'!$I$12:$I$83=$AD$42)+('Predictions &amp; Results'!$J$12:$J$83=$AD$42))*('Predictions &amp; Results'!$R$12:$R$83='Predictions &amp; Results'!$S$12:$S$83))</f>
        <v>0</v>
      </c>
      <c r="AK42" s="179">
        <f>SUMPRODUCT(('Predictions &amp; Results'!$H$12:$H$83="GL")*'Predictions &amp; Results'!$T$12:$T$83*(('Predictions &amp; Results'!$I$12:$I$83=$AD$42)*('Predictions &amp; Results'!$R$12:$R$83&lt;'Predictions &amp; Results'!$S$12:$S$83)+('Predictions &amp; Results'!$J$12:$J$83=$AD$42)*('Predictions &amp; Results'!$S$12:$S$83&lt;'Predictions &amp; Results'!$R$12:$R$83)))</f>
        <v>0</v>
      </c>
      <c r="AL42" s="179">
        <f>SUMPRODUCT(('Predictions &amp; Results'!$H$12:$H$83="GL")*'Predictions &amp; Results'!$T$12:$T$83*(('Predictions &amp; Results'!$I$12:$I$83=$AD$42)*'Predictions &amp; Results'!$R$12:$R$83+('Predictions &amp; Results'!$J$12:$J$83=$AD$42)*'Predictions &amp; Results'!$S$12:$S$83))</f>
        <v>0</v>
      </c>
      <c r="AM42" s="179">
        <f>SUMPRODUCT(('Predictions &amp; Results'!$H$12:$H$83="GL")*'Predictions &amp; Results'!$T$12:$T$83*(('Predictions &amp; Results'!$I$12:$I$83=$AD$42)*'Predictions &amp; Results'!$S$12:$S$83+('Predictions &amp; Results'!$J$12:$J$83=$AD$42)*'Predictions &amp; Results'!$R$12:$R$83))</f>
        <v>0</v>
      </c>
      <c r="AN42" s="179">
        <f>AL42-AM42</f>
        <v>0</v>
      </c>
      <c r="AO42" s="179">
        <f>AI42*3+AJ42</f>
        <v>0</v>
      </c>
      <c r="AP42" s="222">
        <f>IF(SUM($AH$40:$AH$43)=0,0,1+((AO40&gt;AO42)+(AO40=AO42)*(AN40&gt;AN42)+(AO40=AO42)*(AN40=AN42)*(AL40&gt;AL42)+(AO40=AO42)*(AN40=AN42)*(AL40=AL42)*(40&lt;42))+((AO41&gt;AO42)+(AO41=AO42)*(AN41&gt;AN42)+(AO41=AO42)*(AN41=AN42)*(AL41&gt;AL42)+(AO41=AO42)*(AN41=AN42)*(AL41=AL42)*(41&lt;42))+((AO43&gt;AO42)+(AO43=AO42)*(AN43&gt;AN42)+(AO43=AO42)*(AN43=AN42)*(AL43&gt;AL42)+(AO43=AO42)*(AN43=AN42)*(AL43=AL42)*(43&lt;42)))</f>
        <v>0</v>
      </c>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row>
    <row r="43" spans="1:93" ht="15" customHeight="1">
      <c r="A43" s="34"/>
      <c r="B43" s="201"/>
      <c r="C43" s="212"/>
      <c r="D43" s="340" t="s">
        <v>72</v>
      </c>
      <c r="E43" s="341"/>
      <c r="F43" s="341"/>
      <c r="G43" s="342"/>
      <c r="H43" s="179">
        <f>SUMPRODUCT(('Predictions &amp; Results'!$H$12:$H$83="GJ")*'Predictions &amp; Results'!$T$12:$T$83*(('Predictions &amp; Results'!$I$12:$I$83=$D$43)+('Predictions &amp; Results'!$J$12:$J$83=$D$43)))</f>
        <v>0</v>
      </c>
      <c r="I43" s="179">
        <f>SUMPRODUCT(('Predictions &amp; Results'!$H$12:$H$83="GJ")*'Predictions &amp; Results'!$T$12:$T$83*(('Predictions &amp; Results'!$I$12:$I$83=$D$43)*('Predictions &amp; Results'!$R$12:$R$83&gt;'Predictions &amp; Results'!$S$12:$S$83)+('Predictions &amp; Results'!$J$12:$J$83=$D$43)*('Predictions &amp; Results'!$S$12:$S$83&gt;'Predictions &amp; Results'!$R$12:$R$83)))</f>
        <v>0</v>
      </c>
      <c r="J43" s="179">
        <f>SUMPRODUCT(('Predictions &amp; Results'!$H$12:$H$83="GJ")*'Predictions &amp; Results'!$T$12:$T$83*(('Predictions &amp; Results'!$I$12:$I$83=$D$43)+('Predictions &amp; Results'!$J$12:$J$83=$D$43))*('Predictions &amp; Results'!$R$12:$R$83='Predictions &amp; Results'!$S$12:$S$83))</f>
        <v>0</v>
      </c>
      <c r="K43" s="179">
        <f>SUMPRODUCT(('Predictions &amp; Results'!$H$12:$H$83="GJ")*'Predictions &amp; Results'!$T$12:$T$83*(('Predictions &amp; Results'!$I$12:$I$83=$D$43)*('Predictions &amp; Results'!$R$12:$R$83&lt;'Predictions &amp; Results'!$S$12:$S$83)+('Predictions &amp; Results'!$J$12:$J$83=$D$43)*('Predictions &amp; Results'!$S$12:$S$83&lt;'Predictions &amp; Results'!$R$12:$R$83)))</f>
        <v>0</v>
      </c>
      <c r="L43" s="179">
        <f>SUMPRODUCT(('Predictions &amp; Results'!$H$12:$H$83="GJ")*'Predictions &amp; Results'!$T$12:$T$83*(('Predictions &amp; Results'!$I$12:$I$83=$D$43)*'Predictions &amp; Results'!$R$12:$R$83+('Predictions &amp; Results'!$J$12:$J$83=$D$43)*'Predictions &amp; Results'!$S$12:$S$83))</f>
        <v>0</v>
      </c>
      <c r="M43" s="179">
        <f>SUMPRODUCT(('Predictions &amp; Results'!$H$12:$H$83="GJ")*'Predictions &amp; Results'!$T$12:$T$83*(('Predictions &amp; Results'!$I$12:$I$83=$D$43)*'Predictions &amp; Results'!$S$12:$S$83+('Predictions &amp; Results'!$J$12:$J$83=$D$43)*'Predictions &amp; Results'!$R$12:$R$83))</f>
        <v>0</v>
      </c>
      <c r="N43" s="179">
        <f>L43-M43</f>
        <v>0</v>
      </c>
      <c r="O43" s="179">
        <f>I43*3+J43</f>
        <v>0</v>
      </c>
      <c r="P43" s="91">
        <f>IF(SUM($H$40:$H$43)=0,0,1+((O40&gt;O43)+(O40=O43)*(N40&gt;N43)+(O40=O43)*(N40=N43)*(L40&gt;L43)+(O40=O43)*(N40=N43)*(L40=L43)*(40&lt;43))+((O41&gt;O43)+(O41=O43)*(N41&gt;N43)+(O41=O43)*(N41=N43)*(L41&gt;L43)+(O41=O43)*(N41=N43)*(L41=L43)*(41&lt;43))+((O42&gt;O43)+(O42=O43)*(N42&gt;N43)+(O42=O43)*(N42=N43)*(L42&gt;L43)+(O42=O43)*(N42=N43)*(L42=L43)*(42&lt;43)))</f>
        <v>0</v>
      </c>
      <c r="Q43" s="349" t="s">
        <v>82</v>
      </c>
      <c r="R43" s="341"/>
      <c r="S43" s="341"/>
      <c r="T43" s="342"/>
      <c r="U43" s="180">
        <f>SUMPRODUCT(('Predictions &amp; Results'!$H$12:$H$83="GK")*'Predictions &amp; Results'!$T$12:$T$83*(('Predictions &amp; Results'!$I$12:$I$83=$Q$43)+('Predictions &amp; Results'!$J$12:$J$83=$Q$43)))</f>
        <v>0</v>
      </c>
      <c r="V43" s="180">
        <f>SUMPRODUCT(('Predictions &amp; Results'!$H$12:$H$83="GK")*'Predictions &amp; Results'!$T$12:$T$83*(('Predictions &amp; Results'!$I$12:$I$83=$Q$43)*('Predictions &amp; Results'!$R$12:$R$83&gt;'Predictions &amp; Results'!$S$12:$S$83)+('Predictions &amp; Results'!$J$12:$J$83=$Q$43)*('Predictions &amp; Results'!$S$12:$S$83&gt;'Predictions &amp; Results'!$R$12:$R$83)))</f>
        <v>0</v>
      </c>
      <c r="W43" s="180">
        <f>SUMPRODUCT(('Predictions &amp; Results'!$H$12:$H$83="GK")*'Predictions &amp; Results'!$T$12:$T$83*(('Predictions &amp; Results'!$I$12:$I$83=$Q$43)+('Predictions &amp; Results'!$J$12:$J$83=$Q$43))*('Predictions &amp; Results'!$R$12:$R$83='Predictions &amp; Results'!$S$12:$S$83))</f>
        <v>0</v>
      </c>
      <c r="X43" s="180">
        <f>SUMPRODUCT(('Predictions &amp; Results'!$H$12:$H$83="GK")*'Predictions &amp; Results'!$T$12:$T$83*(('Predictions &amp; Results'!$I$12:$I$83=$Q$43)*('Predictions &amp; Results'!$R$12:$R$83&lt;'Predictions &amp; Results'!$S$12:$S$83)+('Predictions &amp; Results'!$J$12:$J$83=$Q$43)*('Predictions &amp; Results'!$S$12:$S$83&lt;'Predictions &amp; Results'!$R$12:$R$83)))</f>
        <v>0</v>
      </c>
      <c r="Y43" s="180">
        <f>SUMPRODUCT(('Predictions &amp; Results'!$H$12:$H$83="GK")*'Predictions &amp; Results'!$T$12:$T$83*(('Predictions &amp; Results'!$I$12:$I$83=$Q$43)*'Predictions &amp; Results'!$R$12:$R$83+('Predictions &amp; Results'!$J$12:$J$83=$Q$43)*'Predictions &amp; Results'!$S$12:$S$83))</f>
        <v>0</v>
      </c>
      <c r="Z43" s="180">
        <f>SUMPRODUCT(('Predictions &amp; Results'!$H$12:$H$83="GK")*'Predictions &amp; Results'!$T$12:$T$83*(('Predictions &amp; Results'!$I$12:$I$83=$Q$43)*'Predictions &amp; Results'!$S$12:$S$83+('Predictions &amp; Results'!$J$12:$J$83=$Q$43)*'Predictions &amp; Results'!$R$12:$R$83))</f>
        <v>0</v>
      </c>
      <c r="AA43" s="180">
        <f>Y43-Z43</f>
        <v>0</v>
      </c>
      <c r="AB43" s="180">
        <f>V43*3+W43</f>
        <v>0</v>
      </c>
      <c r="AC43" s="91">
        <f>IF(SUM($U$40:$U$43)=0,0,1+((AB40&gt;AB43)+(AB40=AB43)*(AA40&gt;AA43)+(AB40=AB43)*(AA40=AA43)*(Y40&gt;Y43)+(AB40=AB43)*(AA40=AA43)*(Y40=Y43)*(40&lt;43))+((AB41&gt;AB43)+(AB41=AB43)*(AA41&gt;AA43)+(AB41=AB43)*(AA41=AA43)*(Y41&gt;Y43)+(AB41=AB43)*(AA41=AA43)*(Y41=Y43)*(41&lt;43))+((AB42&gt;AB43)+(AB42=AB43)*(AA42&gt;AA43)+(AB42=AB43)*(AA42=AA43)*(Y42&gt;Y43)+(AB42=AB43)*(AA42=AA43)*(Y42=Y43)*(42&lt;43)))</f>
        <v>0</v>
      </c>
      <c r="AD43" s="340" t="s">
        <v>80</v>
      </c>
      <c r="AE43" s="341"/>
      <c r="AF43" s="341"/>
      <c r="AG43" s="342"/>
      <c r="AH43" s="179">
        <f>SUMPRODUCT(('Predictions &amp; Results'!$H$12:$H$83="GL")*'Predictions &amp; Results'!$T$12:$T$83*(('Predictions &amp; Results'!$I$12:$I$83=$AD$43)+('Predictions &amp; Results'!$J$12:$J$83=$AD$43)))</f>
        <v>0</v>
      </c>
      <c r="AI43" s="179">
        <f>SUMPRODUCT(('Predictions &amp; Results'!$H$12:$H$83="GL")*'Predictions &amp; Results'!$T$12:$T$83*(('Predictions &amp; Results'!$I$12:$I$83=$AD$43)*('Predictions &amp; Results'!$R$12:$R$83&gt;'Predictions &amp; Results'!$S$12:$S$83)+('Predictions &amp; Results'!$J$12:$J$83=$AD$43)*('Predictions &amp; Results'!$S$12:$S$83&gt;'Predictions &amp; Results'!$R$12:$R$83)))</f>
        <v>0</v>
      </c>
      <c r="AJ43" s="179">
        <f>SUMPRODUCT(('Predictions &amp; Results'!$H$12:$H$83="GL")*'Predictions &amp; Results'!$T$12:$T$83*(('Predictions &amp; Results'!$I$12:$I$83=$AD$43)+('Predictions &amp; Results'!$J$12:$J$83=$AD$43))*('Predictions &amp; Results'!$R$12:$R$83='Predictions &amp; Results'!$S$12:$S$83))</f>
        <v>0</v>
      </c>
      <c r="AK43" s="179">
        <f>SUMPRODUCT(('Predictions &amp; Results'!$H$12:$H$83="GL")*'Predictions &amp; Results'!$T$12:$T$83*(('Predictions &amp; Results'!$I$12:$I$83=$AD$43)*('Predictions &amp; Results'!$R$12:$R$83&lt;'Predictions &amp; Results'!$S$12:$S$83)+('Predictions &amp; Results'!$J$12:$J$83=$AD$43)*('Predictions &amp; Results'!$S$12:$S$83&lt;'Predictions &amp; Results'!$R$12:$R$83)))</f>
        <v>0</v>
      </c>
      <c r="AL43" s="179">
        <f>SUMPRODUCT(('Predictions &amp; Results'!$H$12:$H$83="GL")*'Predictions &amp; Results'!$T$12:$T$83*(('Predictions &amp; Results'!$I$12:$I$83=$AD$43)*'Predictions &amp; Results'!$R$12:$R$83+('Predictions &amp; Results'!$J$12:$J$83=$AD$43)*'Predictions &amp; Results'!$S$12:$S$83))</f>
        <v>0</v>
      </c>
      <c r="AM43" s="179">
        <f>SUMPRODUCT(('Predictions &amp; Results'!$H$12:$H$83="GL")*'Predictions &amp; Results'!$T$12:$T$83*(('Predictions &amp; Results'!$I$12:$I$83=$AD$43)*'Predictions &amp; Results'!$S$12:$S$83+('Predictions &amp; Results'!$J$12:$J$83=$AD$43)*'Predictions &amp; Results'!$R$12:$R$83))</f>
        <v>0</v>
      </c>
      <c r="AN43" s="179">
        <f>AL43-AM43</f>
        <v>0</v>
      </c>
      <c r="AO43" s="179">
        <f>AI43*3+AJ43</f>
        <v>0</v>
      </c>
      <c r="AP43" s="222">
        <f>IF(SUM($AH$40:$AH$43)=0,0,1+((AO40&gt;AO43)+(AO40=AO43)*(AN40&gt;AN43)+(AO40=AO43)*(AN40=AN43)*(AL40&gt;AL43)+(AO40=AO43)*(AN40=AN43)*(AL40=AL43)*(40&lt;43))+((AO41&gt;AO43)+(AO41=AO43)*(AN41&gt;AN43)+(AO41=AO43)*(AN41=AN43)*(AL41&gt;AL43)+(AO41=AO43)*(AN41=AN43)*(AL41=AL43)*(41&lt;43))+((AO42&gt;AO43)+(AO42=AO43)*(AN42&gt;AN43)+(AO42=AO43)*(AN42=AN43)*(AL42&gt;AL43)+(AO42=AO43)*(AN42=AN43)*(AL42=AL43)*(42&lt;43)))</f>
        <v>0</v>
      </c>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row>
    <row r="44" spans="1:93" ht="15" customHeight="1">
      <c r="A44" s="34"/>
      <c r="B44" s="201"/>
      <c r="C44" s="212"/>
      <c r="D44" s="92"/>
      <c r="E44" s="92"/>
      <c r="F44" s="92"/>
      <c r="G44" s="92"/>
      <c r="H44" s="92"/>
      <c r="I44" s="92"/>
      <c r="J44" s="92"/>
      <c r="K44" s="92"/>
      <c r="L44" s="92"/>
      <c r="M44" s="92"/>
      <c r="N44" s="92"/>
      <c r="O44" s="92"/>
      <c r="P44" s="88"/>
      <c r="Q44" s="92"/>
      <c r="R44" s="92"/>
      <c r="S44" s="92"/>
      <c r="T44" s="92"/>
      <c r="U44" s="92"/>
      <c r="V44" s="92"/>
      <c r="W44" s="92"/>
      <c r="X44" s="92"/>
      <c r="Y44" s="92"/>
      <c r="Z44" s="92"/>
      <c r="AA44" s="92"/>
      <c r="AB44" s="92"/>
      <c r="AC44" s="88"/>
      <c r="AD44" s="92"/>
      <c r="AE44" s="92"/>
      <c r="AF44" s="92"/>
      <c r="AG44" s="92"/>
      <c r="AH44" s="92"/>
      <c r="AI44" s="92"/>
      <c r="AJ44" s="92"/>
      <c r="AK44" s="92"/>
      <c r="AL44" s="92"/>
      <c r="AM44" s="92"/>
      <c r="AN44" s="92"/>
      <c r="AO44" s="92"/>
      <c r="AP44" s="220"/>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row>
    <row r="45" spans="1:93" ht="15" customHeight="1">
      <c r="A45" s="34"/>
      <c r="B45" s="201"/>
      <c r="C45" s="212"/>
      <c r="D45" s="34"/>
      <c r="E45" s="34"/>
      <c r="F45" s="34"/>
      <c r="G45" s="34"/>
      <c r="H45" s="34"/>
      <c r="I45" s="34"/>
      <c r="J45" s="34"/>
      <c r="K45" s="34"/>
      <c r="L45" s="34"/>
      <c r="M45" s="34"/>
      <c r="N45" s="34"/>
      <c r="O45" s="34"/>
      <c r="P45" s="35"/>
      <c r="Q45" s="34"/>
      <c r="R45" s="34"/>
      <c r="S45" s="34"/>
      <c r="T45" s="34"/>
      <c r="U45" s="34"/>
      <c r="V45" s="34"/>
      <c r="W45" s="34"/>
      <c r="X45" s="34"/>
      <c r="Y45" s="34"/>
      <c r="Z45" s="34"/>
      <c r="AA45" s="34"/>
      <c r="AB45" s="34"/>
      <c r="AC45" s="35"/>
      <c r="AD45" s="34"/>
      <c r="AE45" s="34"/>
      <c r="AF45" s="34"/>
      <c r="AG45" s="34"/>
      <c r="AH45" s="34"/>
      <c r="AI45" s="34"/>
      <c r="AJ45" s="34"/>
      <c r="AK45" s="34"/>
      <c r="AL45" s="34"/>
      <c r="AM45" s="34"/>
      <c r="AN45" s="34"/>
      <c r="AO45" s="34"/>
      <c r="AP45" s="220"/>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row>
    <row r="46" spans="1:93" ht="15" customHeight="1">
      <c r="A46" s="34"/>
      <c r="B46" s="201"/>
      <c r="C46" s="212"/>
      <c r="D46" s="347" t="str">
        <f>VLOOKUP("best_3rd_hdr",langTable,MATCH(langName,_lang!$A$1:$F$1,0),FALSE())</f>
        <v>BEST 3RD PLACED TEAMS (top 8 advance to Round of 32)</v>
      </c>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34"/>
      <c r="AE46" s="34"/>
      <c r="AF46" s="34"/>
      <c r="AG46" s="34"/>
      <c r="AH46" s="34"/>
      <c r="AI46" s="34"/>
      <c r="AJ46" s="34"/>
      <c r="AK46" s="34"/>
      <c r="AL46" s="34"/>
      <c r="AM46" s="34"/>
      <c r="AN46" s="34"/>
      <c r="AO46" s="34"/>
      <c r="AP46" s="220"/>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row>
    <row r="47" spans="1:93" ht="18" customHeight="1">
      <c r="A47" s="37"/>
      <c r="B47" s="202"/>
      <c r="C47" s="213"/>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4"/>
      <c r="AE47" s="34"/>
      <c r="AF47" s="34"/>
      <c r="AG47" s="34"/>
      <c r="AH47" s="34"/>
      <c r="AI47" s="34"/>
      <c r="AJ47" s="34"/>
      <c r="AK47" s="34"/>
      <c r="AL47" s="34"/>
      <c r="AM47" s="34"/>
      <c r="AN47" s="34"/>
      <c r="AO47" s="34"/>
      <c r="AP47" s="220"/>
      <c r="AQ47" s="35"/>
      <c r="AR47" s="35"/>
      <c r="AS47" s="35"/>
      <c r="AT47" s="35"/>
      <c r="AU47" s="35"/>
      <c r="AV47" s="35"/>
      <c r="AW47" s="35"/>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row>
    <row r="48" spans="1:93" ht="15" customHeight="1">
      <c r="A48" s="34"/>
      <c r="B48" s="201"/>
      <c r="C48" s="212"/>
      <c r="D48" s="90" t="str">
        <f>VLOOKUP("hdr_group",langTable,MATCH(langName,_lang!$A$1:$F$1,0),FALSE())</f>
        <v>GRP</v>
      </c>
      <c r="E48" s="90" t="str">
        <f>VLOOKUP("hdr_team",langTable,MATCH(langName,_lang!$A$1:$F$1,0),FALSE())</f>
        <v>TEAM</v>
      </c>
      <c r="F48" s="90" t="str">
        <f>VLOOKUP("hdr_pld",langTable,MATCH(langName,_lang!$A$1:$F$1,0),FALSE())</f>
        <v>P</v>
      </c>
      <c r="G48" s="90" t="str">
        <f>VLOOKUP("hdr_w",langTable,MATCH(langName,_lang!$A$1:$F$1,0),FALSE())</f>
        <v>W</v>
      </c>
      <c r="H48" s="90" t="str">
        <f>VLOOKUP("hdr_d",langTable,MATCH(langName,_lang!$A$1:$F$1,0),FALSE())</f>
        <v>D</v>
      </c>
      <c r="I48" s="90" t="str">
        <f>VLOOKUP("hdr_l",langTable,MATCH(langName,_lang!$A$1:$F$1,0),FALSE())</f>
        <v>L</v>
      </c>
      <c r="J48" s="90" t="str">
        <f>VLOOKUP("hdr_gf",langTable,MATCH(langName,_lang!$A$1:$F$1,0),FALSE())</f>
        <v>GF</v>
      </c>
      <c r="K48" s="90" t="str">
        <f>VLOOKUP("hdr_ga",langTable,MATCH(langName,_lang!$A$1:$F$1,0),FALSE())</f>
        <v>GA</v>
      </c>
      <c r="L48" s="90" t="str">
        <f>VLOOKUP("hdr_gd",langTable,MATCH(langName,_lang!$A$1:$F$1,0),FALSE())</f>
        <v>GD</v>
      </c>
      <c r="M48" s="90" t="str">
        <f>VLOOKUP("hdr_pts",langTable,MATCH(langName,_lang!$A$1:$F$1,0),FALSE())</f>
        <v>Pts</v>
      </c>
      <c r="N48" s="90" t="str">
        <f>VLOOKUP("hdr_b3rank",langTable,MATCH(langName,_lang!$A$1:$F$1,0),FALSE())</f>
        <v>B3 RANK</v>
      </c>
      <c r="O48" s="90" t="str">
        <f>VLOOKUP("hdr_qual",langTable,MATCH(langName,_lang!$A$1:$F$1,0),FALSE())</f>
        <v>QUALIFIED?</v>
      </c>
      <c r="P48" s="35"/>
      <c r="Q48" s="34"/>
      <c r="R48" s="34"/>
      <c r="S48" s="34"/>
      <c r="T48" s="34"/>
      <c r="U48" s="34"/>
      <c r="V48" s="34"/>
      <c r="W48" s="34"/>
      <c r="X48" s="34"/>
      <c r="Y48" s="34"/>
      <c r="Z48" s="34"/>
      <c r="AA48" s="34"/>
      <c r="AB48" s="34"/>
      <c r="AC48" s="35"/>
      <c r="AD48" s="34"/>
      <c r="AE48" s="34"/>
      <c r="AF48" s="34"/>
      <c r="AG48" s="34"/>
      <c r="AH48" s="34"/>
      <c r="AI48" s="34"/>
      <c r="AJ48" s="34"/>
      <c r="AK48" s="34"/>
      <c r="AL48" s="34"/>
      <c r="AM48" s="34"/>
      <c r="AN48" s="34"/>
      <c r="AO48" s="34"/>
      <c r="AP48" s="220"/>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row>
    <row r="49" spans="1:93" ht="15" customHeight="1">
      <c r="A49" s="34"/>
      <c r="B49" s="201"/>
      <c r="C49" s="212"/>
      <c r="D49" s="180" t="s">
        <v>92</v>
      </c>
      <c r="E49" s="182" t="str">
        <f t="array" ref="E49">IFERROR(INDEX($D$13:$D$16,MATCH(3,$P$13:$P$16,0)),"")</f>
        <v/>
      </c>
      <c r="F49" s="180">
        <f t="array" ref="F49">IFERROR(INDEX($H$13:$H$16,MATCH(3,$P$13:$P$16,0)),0)</f>
        <v>0</v>
      </c>
      <c r="G49" s="180">
        <f t="array" ref="G49">IFERROR(INDEX($I$13:$I$16,MATCH(3,$P$13:$P$16,0)),0)</f>
        <v>0</v>
      </c>
      <c r="H49" s="180">
        <f t="array" ref="H49">IFERROR(INDEX($J$13:$J$16,MATCH(3,$P$13:$P$16,0)),0)</f>
        <v>0</v>
      </c>
      <c r="I49" s="180">
        <f t="array" ref="I49">IFERROR(INDEX($K$13:$K$16,MATCH(3,$P$13:$P$16,0)),0)</f>
        <v>0</v>
      </c>
      <c r="J49" s="180">
        <f t="array" ref="J49">IFERROR(INDEX($L$13:$L$16,MATCH(3,$P$13:$P$16,0)),0)</f>
        <v>0</v>
      </c>
      <c r="K49" s="180">
        <f t="array" ref="K49">IFERROR(INDEX($M$13:$M$16,MATCH(3,$P$13:$P$16,0)),0)</f>
        <v>0</v>
      </c>
      <c r="L49" s="180">
        <f t="array" ref="L49">IFERROR(INDEX($N$13:$N$16,MATCH(3,$P$13:$P$16,0)),0)</f>
        <v>0</v>
      </c>
      <c r="M49" s="180">
        <f t="array" ref="M49">IFERROR(INDEX($O$13:$O$16,MATCH(3,$P$13:$P$16,0)),0)</f>
        <v>0</v>
      </c>
      <c r="N49" s="180">
        <f>1+((M50&gt;M49)+(M50=M49)*(L50&gt;L49)+(M50=M49)*(L50=L49)*(J50&gt;J49))+((M51&gt;M49)+(M51=M49)*(L51&gt;L49)+(M51=M49)*(L51=L49)*(J51&gt;J49))+((M52&gt;M49)+(M52=M49)*(L52&gt;L49)+(M52=M49)*(L52=L49)*(J52&gt;J49))+((M53&gt;M49)+(M53=M49)*(L53&gt;L49)+(M53=M49)*(L53=L49)*(J53&gt;J49))+((M54&gt;M49)+(M54=M49)*(L54&gt;L49)+(M54=M49)*(L54=L49)*(J54&gt;J49))+((M55&gt;M49)+(M55=M49)*(L55&gt;L49)+(M55=M49)*(L55=L49)*(J55&gt;J49))+((M56&gt;M49)+(M56=M49)*(L56&gt;L49)+(M56=M49)*(L56=L49)*(J56&gt;J49))+((M57&gt;M49)+(M57=M49)*(L57&gt;L49)+(M57=M49)*(L57=L49)*(J57&gt;J49))+((M58&gt;M49)+(M58=M49)*(L58&gt;L49)+(M58=M49)*(L58=L49)*(J58&gt;J49))+((M59&gt;M49)+(M59=M49)*(L59&gt;L49)+(M59=M49)*(L59=L49)*(J59&gt;J49))+((M60&gt;M49)+(M60=M49)*(L60&gt;L49)+(M60=M49)*(L60=L49)*(J60&gt;J49))</f>
        <v>1</v>
      </c>
      <c r="O49" s="181" t="str">
        <f>IF(N49&lt;=8,VLOOKUP("yes",langTable,MATCH(langName,_lang!$A$1:$F$1,0),FALSE()),VLOOKUP("no",langTable,MATCH(langName,_lang!$A$1:$F$1,0),FALSE()))</f>
        <v>YES</v>
      </c>
      <c r="P49" s="35"/>
      <c r="Q49" s="34"/>
      <c r="R49" s="34"/>
      <c r="S49" s="34">
        <f t="shared" ref="S49:S60" si="0">$N49+ROW($N49)/1000</f>
        <v>1.0489999999999999</v>
      </c>
      <c r="T49" s="34"/>
      <c r="U49" s="34"/>
      <c r="V49" s="34"/>
      <c r="W49" s="34"/>
      <c r="X49" s="34"/>
      <c r="Y49" s="34"/>
      <c r="Z49" s="34"/>
      <c r="AA49" s="34"/>
      <c r="AB49" s="34"/>
      <c r="AC49" s="35"/>
      <c r="AD49" s="34"/>
      <c r="AE49" s="34"/>
      <c r="AF49" s="34"/>
      <c r="AG49" s="34"/>
      <c r="AH49" s="34"/>
      <c r="AI49" s="34"/>
      <c r="AJ49" s="34"/>
      <c r="AK49" s="34"/>
      <c r="AL49" s="34"/>
      <c r="AM49" s="34"/>
      <c r="AN49" s="34"/>
      <c r="AO49" s="34"/>
      <c r="AP49" s="220"/>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row>
    <row r="50" spans="1:93" ht="15" customHeight="1">
      <c r="A50" s="34"/>
      <c r="B50" s="201"/>
      <c r="C50" s="212"/>
      <c r="D50" s="180" t="s">
        <v>93</v>
      </c>
      <c r="E50" s="182" t="str">
        <f t="array" ref="E50">IFERROR(INDEX($Q$13:$Q$16,MATCH(3,$AC$13:$AC$16,0)),"")</f>
        <v/>
      </c>
      <c r="F50" s="180">
        <f t="array" ref="F50">IFERROR(INDEX($U$13:$U$16,MATCH(3,$AC$13:$AC$16,0)),0)</f>
        <v>0</v>
      </c>
      <c r="G50" s="180">
        <f t="array" ref="G50">IFERROR(INDEX($V$13:$V$16,MATCH(3,$AC$13:$AC$16,0)),0)</f>
        <v>0</v>
      </c>
      <c r="H50" s="180">
        <f t="array" ref="H50">IFERROR(INDEX($W$13:$W$16,MATCH(3,$AC$13:$AC$16,0)),0)</f>
        <v>0</v>
      </c>
      <c r="I50" s="180">
        <f t="array" ref="I50">IFERROR(INDEX($X$13:$X$16,MATCH(3,$AC$13:$AC$16,0)),0)</f>
        <v>0</v>
      </c>
      <c r="J50" s="180">
        <f t="array" ref="J50">IFERROR(INDEX($Y$13:$Y$16,MATCH(3,$AC$13:$AC$16,0)),0)</f>
        <v>0</v>
      </c>
      <c r="K50" s="180">
        <f t="array" ref="K50">IFERROR(INDEX($Z$13:$Z$16,MATCH(3,$AC$13:$AC$16,0)),0)</f>
        <v>0</v>
      </c>
      <c r="L50" s="180">
        <f t="array" ref="L50">IFERROR(INDEX($AA$13:$AA$16,MATCH(3,$AC$13:$AC$16,0)),0)</f>
        <v>0</v>
      </c>
      <c r="M50" s="180">
        <f t="array" ref="M50">IFERROR(INDEX($AB$13:$AB$16,MATCH(3,$AC$13:$AC$16,0)),0)</f>
        <v>0</v>
      </c>
      <c r="N50" s="180">
        <f>1+((M49&gt;M50)+(M49=M50)*(L49&gt;L50)+(M49=M50)*(L49=L50)*(J49&gt;J50))+((M51&gt;M50)+(M51=M50)*(L51&gt;L50)+(M51=M50)*(L51=L50)*(J51&gt;J50))+((M52&gt;M50)+(M52=M50)*(L52&gt;L50)+(M52=M50)*(L52=L50)*(J52&gt;J50))+((M53&gt;M50)+(M53=M50)*(L53&gt;L50)+(M53=M50)*(L53=L50)*(J53&gt;J50))+((M54&gt;M50)+(M54=M50)*(L54&gt;L50)+(M54=M50)*(L54=L50)*(J54&gt;J50))+((M55&gt;M50)+(M55=M50)*(L55&gt;L50)+(M55=M50)*(L55=L50)*(J55&gt;J50))+((M56&gt;M50)+(M56=M50)*(L56&gt;L50)+(M56=M50)*(L56=L50)*(J56&gt;J50))+((M57&gt;M50)+(M57=M50)*(L57&gt;L50)+(M57=M50)*(L57=L50)*(J57&gt;J50))+((M58&gt;M50)+(M58=M50)*(L58&gt;L50)+(M58=M50)*(L58=L50)*(J58&gt;J50))+((M59&gt;M50)+(M59=M50)*(L59&gt;L50)+(M59=M50)*(L59=L50)*(J59&gt;J50))+((M60&gt;M50)+(M60=M50)*(L60&gt;L50)+(M60=M50)*(L60=L50)*(J60&gt;J50))</f>
        <v>1</v>
      </c>
      <c r="O50" s="181" t="str">
        <f>IF(N50&lt;=8,VLOOKUP("yes",langTable,MATCH(langName,_lang!$A$1:$F$1,0),FALSE()),VLOOKUP("no",langTable,MATCH(langName,_lang!$A$1:$F$1,0),FALSE()))</f>
        <v>YES</v>
      </c>
      <c r="P50" s="35"/>
      <c r="Q50" s="34"/>
      <c r="R50" s="34"/>
      <c r="S50" s="34">
        <f t="shared" si="0"/>
        <v>1.05</v>
      </c>
      <c r="T50" s="34"/>
      <c r="U50" s="34"/>
      <c r="V50" s="34"/>
      <c r="W50" s="34"/>
      <c r="X50" s="34"/>
      <c r="Y50" s="34"/>
      <c r="Z50" s="34"/>
      <c r="AA50" s="34"/>
      <c r="AB50" s="34"/>
      <c r="AC50" s="35"/>
      <c r="AD50" s="34"/>
      <c r="AE50" s="34"/>
      <c r="AF50" s="34"/>
      <c r="AG50" s="34"/>
      <c r="AH50" s="34"/>
      <c r="AI50" s="34"/>
      <c r="AJ50" s="34"/>
      <c r="AK50" s="34"/>
      <c r="AL50" s="34"/>
      <c r="AM50" s="34"/>
      <c r="AN50" s="34"/>
      <c r="AO50" s="34"/>
      <c r="AP50" s="220"/>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row>
    <row r="51" spans="1:93" ht="15" customHeight="1">
      <c r="A51" s="34"/>
      <c r="B51" s="201"/>
      <c r="C51" s="212"/>
      <c r="D51" s="180" t="s">
        <v>94</v>
      </c>
      <c r="E51" s="182" t="str">
        <f t="array" ref="E51">IFERROR(INDEX($AD$13:$AD$16,MATCH(3,$AP$13:$AP$16,0)),"")</f>
        <v/>
      </c>
      <c r="F51" s="180">
        <f t="array" ref="F51">IFERROR(INDEX($AH$13:$AH$16,MATCH(3,$AP$13:$AP$16,0)),0)</f>
        <v>0</v>
      </c>
      <c r="G51" s="180">
        <f t="array" ref="G51">IFERROR(INDEX($AI$13:$AI$16,MATCH(3,$AP$13:$AP$16,0)),0)</f>
        <v>0</v>
      </c>
      <c r="H51" s="180">
        <f t="array" ref="H51">IFERROR(INDEX($AJ$13:$AJ$16,MATCH(3,$AP$13:$AP$16,0)),0)</f>
        <v>0</v>
      </c>
      <c r="I51" s="180">
        <f t="array" ref="I51">IFERROR(INDEX($AK$13:$AK$16,MATCH(3,$AP$13:$AP$16,0)),0)</f>
        <v>0</v>
      </c>
      <c r="J51" s="180">
        <f t="array" ref="J51">IFERROR(INDEX($AL$13:$AL$16,MATCH(3,$AP$13:$AP$16,0)),0)</f>
        <v>0</v>
      </c>
      <c r="K51" s="180">
        <f t="array" ref="K51">IFERROR(INDEX($AM$13:$AM$16,MATCH(3,$AP$13:$AP$16,0)),0)</f>
        <v>0</v>
      </c>
      <c r="L51" s="180">
        <f t="array" ref="L51">IFERROR(INDEX($AN$13:$AN$16,MATCH(3,$AP$13:$AP$16,0)),0)</f>
        <v>0</v>
      </c>
      <c r="M51" s="180">
        <f t="array" ref="M51">IFERROR(INDEX($AO$13:$AO$16,MATCH(3,$AP$13:$AP$16,0)),0)</f>
        <v>0</v>
      </c>
      <c r="N51" s="180">
        <f>1+((M49&gt;M51)+(M49=M51)*(L49&gt;L51)+(M49=M51)*(L49=L51)*(J49&gt;J51))+((M50&gt;M51)+(M50=M51)*(L50&gt;L51)+(M50=M51)*(L50=L51)*(J50&gt;J51))+((M52&gt;M51)+(M52=M51)*(L52&gt;L51)+(M52=M51)*(L52=L51)*(J52&gt;J51))+((M53&gt;M51)+(M53=M51)*(L53&gt;L51)+(M53=M51)*(L53=L51)*(J53&gt;J51))+((M54&gt;M51)+(M54=M51)*(L54&gt;L51)+(M54=M51)*(L54=L51)*(J54&gt;J51))+((M55&gt;M51)+(M55=M51)*(L55&gt;L51)+(M55=M51)*(L55=L51)*(J55&gt;J51))+((M56&gt;M51)+(M56=M51)*(L56&gt;L51)+(M56=M51)*(L56=L51)*(J56&gt;J51))+((M57&gt;M51)+(M57=M51)*(L57&gt;L51)+(M57=M51)*(L57=L51)*(J57&gt;J51))+((M58&gt;M51)+(M58=M51)*(L58&gt;L51)+(M58=M51)*(L58=L51)*(J58&gt;J51))+((M59&gt;M51)+(M59=M51)*(L59&gt;L51)+(M59=M51)*(L59=L51)*(J59&gt;J51))+((M60&gt;M51)+(M60=M51)*(L60&gt;L51)+(M60=M51)*(L60=L51)*(J60&gt;J51))</f>
        <v>1</v>
      </c>
      <c r="O51" s="181" t="str">
        <f>IF(N51&lt;=8,VLOOKUP("yes",langTable,MATCH(langName,_lang!$A$1:$F$1,0),FALSE()),VLOOKUP("no",langTable,MATCH(langName,_lang!$A$1:$F$1,0),FALSE()))</f>
        <v>YES</v>
      </c>
      <c r="P51" s="35"/>
      <c r="Q51" s="34"/>
      <c r="R51" s="34"/>
      <c r="S51" s="34">
        <f t="shared" si="0"/>
        <v>1.0509999999999999</v>
      </c>
      <c r="T51" s="34"/>
      <c r="U51" s="34"/>
      <c r="V51" s="34"/>
      <c r="W51" s="34"/>
      <c r="X51" s="34"/>
      <c r="Y51" s="34"/>
      <c r="Z51" s="34"/>
      <c r="AA51" s="34"/>
      <c r="AB51" s="34"/>
      <c r="AC51" s="35"/>
      <c r="AD51" s="34"/>
      <c r="AE51" s="34"/>
      <c r="AF51" s="34"/>
      <c r="AG51" s="34"/>
      <c r="AH51" s="34"/>
      <c r="AI51" s="34"/>
      <c r="AJ51" s="34"/>
      <c r="AK51" s="34"/>
      <c r="AL51" s="34"/>
      <c r="AM51" s="34"/>
      <c r="AN51" s="34"/>
      <c r="AO51" s="34"/>
      <c r="AP51" s="220"/>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row>
    <row r="52" spans="1:93" ht="15" customHeight="1">
      <c r="A52" s="34"/>
      <c r="B52" s="201"/>
      <c r="C52" s="212"/>
      <c r="D52" s="180" t="s">
        <v>95</v>
      </c>
      <c r="E52" s="182" t="str">
        <f t="array" ref="E52">IFERROR(INDEX($D$22:$D$25,MATCH(3,$P$22:$P$25,0)),"")</f>
        <v/>
      </c>
      <c r="F52" s="180">
        <f t="array" ref="F52">IFERROR(INDEX($H$22:$H$25,MATCH(3,$P$22:$P$25,0)),0)</f>
        <v>0</v>
      </c>
      <c r="G52" s="180">
        <f t="array" ref="G52">IFERROR(INDEX($I$22:$I$25,MATCH(3,$P$22:$P$25,0)),0)</f>
        <v>0</v>
      </c>
      <c r="H52" s="180">
        <f t="array" ref="H52">IFERROR(INDEX($J$22:$J$25,MATCH(3,$P$22:$P$25,0)),0)</f>
        <v>0</v>
      </c>
      <c r="I52" s="180">
        <f t="array" ref="I52">IFERROR(INDEX($K$22:$K$25,MATCH(3,$P$22:$P$25,0)),0)</f>
        <v>0</v>
      </c>
      <c r="J52" s="180">
        <f t="array" ref="J52">IFERROR(INDEX($L$22:$L$25,MATCH(3,$P$22:$P$25,0)),0)</f>
        <v>0</v>
      </c>
      <c r="K52" s="180">
        <f t="array" ref="K52">IFERROR(INDEX($M$22:$M$25,MATCH(3,$P$22:$P$25,0)),0)</f>
        <v>0</v>
      </c>
      <c r="L52" s="180">
        <f t="array" ref="L52">IFERROR(INDEX($N$22:$N$25,MATCH(3,$P$22:$P$25,0)),0)</f>
        <v>0</v>
      </c>
      <c r="M52" s="180">
        <f t="array" ref="M52">IFERROR(INDEX($O$22:$O$25,MATCH(3,$P$22:$P$25,0)),0)</f>
        <v>0</v>
      </c>
      <c r="N52" s="180">
        <f>1+((M49&gt;M52)+(M49=M52)*(L49&gt;L52)+(M49=M52)*(L49=L52)*(J49&gt;J52))+((M50&gt;M52)+(M50=M52)*(L50&gt;L52)+(M50=M52)*(L50=L52)*(J50&gt;J52))+((M51&gt;M52)+(M51=M52)*(L51&gt;L52)+(M51=M52)*(L51=L52)*(J51&gt;J52))+((M53&gt;M52)+(M53=M52)*(L53&gt;L52)+(M53=M52)*(L53=L52)*(J53&gt;J52))+((M54&gt;M52)+(M54=M52)*(L54&gt;L52)+(M54=M52)*(L54=L52)*(J54&gt;J52))+((M55&gt;M52)+(M55=M52)*(L55&gt;L52)+(M55=M52)*(L55=L52)*(J55&gt;J52))+((M56&gt;M52)+(M56=M52)*(L56&gt;L52)+(M56=M52)*(L56=L52)*(J56&gt;J52))+((M57&gt;M52)+(M57=M52)*(L57&gt;L52)+(M57=M52)*(L57=L52)*(J57&gt;J52))+((M58&gt;M52)+(M58=M52)*(L58&gt;L52)+(M58=M52)*(L58=L52)*(J58&gt;J52))+((M59&gt;M52)+(M59=M52)*(L59&gt;L52)+(M59=M52)*(L59=L52)*(J59&gt;J52))+((M60&gt;M52)+(M60=M52)*(L60&gt;L52)+(M60=M52)*(L60=L52)*(J60&gt;J52))</f>
        <v>1</v>
      </c>
      <c r="O52" s="181" t="str">
        <f>IF(N52&lt;=8,VLOOKUP("yes",langTable,MATCH(langName,_lang!$A$1:$F$1,0),FALSE()),VLOOKUP("no",langTable,MATCH(langName,_lang!$A$1:$F$1,0),FALSE()))</f>
        <v>YES</v>
      </c>
      <c r="P52" s="35"/>
      <c r="Q52" s="34"/>
      <c r="R52" s="34"/>
      <c r="S52" s="34">
        <f t="shared" si="0"/>
        <v>1.052</v>
      </c>
      <c r="T52" s="34"/>
      <c r="U52" s="34"/>
      <c r="V52" s="34"/>
      <c r="W52" s="34"/>
      <c r="X52" s="34"/>
      <c r="Y52" s="34"/>
      <c r="Z52" s="34"/>
      <c r="AA52" s="34"/>
      <c r="AB52" s="34"/>
      <c r="AC52" s="35"/>
      <c r="AD52" s="34"/>
      <c r="AE52" s="34"/>
      <c r="AF52" s="34"/>
      <c r="AG52" s="34"/>
      <c r="AH52" s="34"/>
      <c r="AI52" s="34"/>
      <c r="AJ52" s="34"/>
      <c r="AK52" s="34"/>
      <c r="AL52" s="34"/>
      <c r="AM52" s="34"/>
      <c r="AN52" s="34"/>
      <c r="AO52" s="34"/>
      <c r="AP52" s="220"/>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row>
    <row r="53" spans="1:93" ht="15" customHeight="1">
      <c r="A53" s="34"/>
      <c r="B53" s="201"/>
      <c r="C53" s="212"/>
      <c r="D53" s="180" t="s">
        <v>96</v>
      </c>
      <c r="E53" s="182" t="str">
        <f t="array" ref="E53">IFERROR(INDEX($Q$22:$Q$25,MATCH(3,$AC$22:$AC$25,0)),"")</f>
        <v/>
      </c>
      <c r="F53" s="180">
        <f t="array" ref="F53">IFERROR(INDEX($U$22:$U$25,MATCH(3,$AC$22:$AC$25,0)),0)</f>
        <v>0</v>
      </c>
      <c r="G53" s="180">
        <f t="array" ref="G53">IFERROR(INDEX($V$22:$V$25,MATCH(3,$AC$22:$AC$25,0)),0)</f>
        <v>0</v>
      </c>
      <c r="H53" s="180">
        <f t="array" ref="H53">IFERROR(INDEX($W$22:$W$25,MATCH(3,$AC$22:$AC$25,0)),0)</f>
        <v>0</v>
      </c>
      <c r="I53" s="180">
        <f t="array" ref="I53">IFERROR(INDEX($X$22:$X$25,MATCH(3,$AC$22:$AC$25,0)),0)</f>
        <v>0</v>
      </c>
      <c r="J53" s="180">
        <f t="array" ref="J53">IFERROR(INDEX($Y$22:$Y$25,MATCH(3,$AC$22:$AC$25,0)),0)</f>
        <v>0</v>
      </c>
      <c r="K53" s="180">
        <f t="array" ref="K53">IFERROR(INDEX($Z$22:$Z$25,MATCH(3,$AC$22:$AC$25,0)),0)</f>
        <v>0</v>
      </c>
      <c r="L53" s="180">
        <f t="array" ref="L53">IFERROR(INDEX($AA$22:$AA$25,MATCH(3,$AC$22:$AC$25,0)),0)</f>
        <v>0</v>
      </c>
      <c r="M53" s="180">
        <f t="array" ref="M53">IFERROR(INDEX($AB$22:$AB$25,MATCH(3,$AC$22:$AC$25,0)),0)</f>
        <v>0</v>
      </c>
      <c r="N53" s="180">
        <f>1+((M49&gt;M53)+(M49=M53)*(L49&gt;L53)+(M49=M53)*(L49=L53)*(J49&gt;J53))+((M50&gt;M53)+(M50=M53)*(L50&gt;L53)+(M50=M53)*(L50=L53)*(J50&gt;J53))+((M51&gt;M53)+(M51=M53)*(L51&gt;L53)+(M51=M53)*(L51=L53)*(J51&gt;J53))+((M52&gt;M53)+(M52=M53)*(L52&gt;L53)+(M52=M53)*(L52=L53)*(J52&gt;J53))+((M54&gt;M53)+(M54=M53)*(L54&gt;L53)+(M54=M53)*(L54=L53)*(J54&gt;J53))+((M55&gt;M53)+(M55=M53)*(L55&gt;L53)+(M55=M53)*(L55=L53)*(J55&gt;J53))+((M56&gt;M53)+(M56=M53)*(L56&gt;L53)+(M56=M53)*(L56=L53)*(J56&gt;J53))+((M57&gt;M53)+(M57=M53)*(L57&gt;L53)+(M57=M53)*(L57=L53)*(J57&gt;J53))+((M58&gt;M53)+(M58=M53)*(L58&gt;L53)+(M58=M53)*(L58=L53)*(J58&gt;J53))+((M59&gt;M53)+(M59=M53)*(L59&gt;L53)+(M59=M53)*(L59=L53)*(J59&gt;J53))+((M60&gt;M53)+(M60=M53)*(L60&gt;L53)+(M60=M53)*(L60=L53)*(J60&gt;J53))</f>
        <v>1</v>
      </c>
      <c r="O53" s="181" t="str">
        <f>IF(N53&lt;=8,VLOOKUP("yes",langTable,MATCH(langName,_lang!$A$1:$F$1,0),FALSE()),VLOOKUP("no",langTable,MATCH(langName,_lang!$A$1:$F$1,0),FALSE()))</f>
        <v>YES</v>
      </c>
      <c r="P53" s="35"/>
      <c r="Q53" s="34"/>
      <c r="R53" s="34"/>
      <c r="S53" s="34">
        <f t="shared" si="0"/>
        <v>1.0529999999999999</v>
      </c>
      <c r="T53" s="34"/>
      <c r="U53" s="34"/>
      <c r="V53" s="34"/>
      <c r="W53" s="34"/>
      <c r="X53" s="34"/>
      <c r="Y53" s="34"/>
      <c r="Z53" s="34"/>
      <c r="AA53" s="34"/>
      <c r="AB53" s="34"/>
      <c r="AC53" s="35"/>
      <c r="AD53" s="34"/>
      <c r="AE53" s="34"/>
      <c r="AF53" s="34"/>
      <c r="AG53" s="34"/>
      <c r="AH53" s="34"/>
      <c r="AI53" s="34"/>
      <c r="AJ53" s="34"/>
      <c r="AK53" s="34"/>
      <c r="AL53" s="34"/>
      <c r="AM53" s="34"/>
      <c r="AN53" s="34"/>
      <c r="AO53" s="34"/>
      <c r="AP53" s="220"/>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row>
    <row r="54" spans="1:93" ht="15" customHeight="1">
      <c r="A54" s="34"/>
      <c r="B54" s="201"/>
      <c r="C54" s="212"/>
      <c r="D54" s="180" t="s">
        <v>97</v>
      </c>
      <c r="E54" s="182" t="str">
        <f t="array" ref="E54">IFERROR(INDEX($AD$22:$AD$25,MATCH(3,$AP$22:$AP$25,0)),"")</f>
        <v/>
      </c>
      <c r="F54" s="180">
        <f t="array" ref="F54">IFERROR(INDEX($AH$22:$AH$25,MATCH(3,$AP$22:$AP$25,0)),0)</f>
        <v>0</v>
      </c>
      <c r="G54" s="180">
        <f t="array" ref="G54">IFERROR(INDEX($AI$22:$AI$25,MATCH(3,$AP$22:$AP$25,0)),0)</f>
        <v>0</v>
      </c>
      <c r="H54" s="180">
        <f t="array" ref="H54">IFERROR(INDEX($AJ$22:$AJ$25,MATCH(3,$AP$22:$AP$25,0)),0)</f>
        <v>0</v>
      </c>
      <c r="I54" s="180">
        <f t="array" ref="I54">IFERROR(INDEX($AK$22:$AK$25,MATCH(3,$AP$22:$AP$25,0)),0)</f>
        <v>0</v>
      </c>
      <c r="J54" s="180">
        <f t="array" ref="J54">IFERROR(INDEX($AL$22:$AL$25,MATCH(3,$AP$22:$AP$25,0)),0)</f>
        <v>0</v>
      </c>
      <c r="K54" s="180">
        <f t="array" ref="K54">IFERROR(INDEX($AM$22:$AM$25,MATCH(3,$AP$22:$AP$25,0)),0)</f>
        <v>0</v>
      </c>
      <c r="L54" s="180">
        <f t="array" ref="L54">IFERROR(INDEX($AN$22:$AN$25,MATCH(3,$AP$22:$AP$25,0)),0)</f>
        <v>0</v>
      </c>
      <c r="M54" s="180">
        <f t="array" ref="M54">IFERROR(INDEX($AO$22:$AO$25,MATCH(3,$AP$22:$AP$25,0)),0)</f>
        <v>0</v>
      </c>
      <c r="N54" s="180">
        <f>1+((M49&gt;M54)+(M49=M54)*(L49&gt;L54)+(M49=M54)*(L49=L54)*(J49&gt;J54))+((M50&gt;M54)+(M50=M54)*(L50&gt;L54)+(M50=M54)*(L50=L54)*(J50&gt;J54))+((M51&gt;M54)+(M51=M54)*(L51&gt;L54)+(M51=M54)*(L51=L54)*(J51&gt;J54))+((M52&gt;M54)+(M52=M54)*(L52&gt;L54)+(M52=M54)*(L52=L54)*(J52&gt;J54))+((M53&gt;M54)+(M53=M54)*(L53&gt;L54)+(M53=M54)*(L53=L54)*(J53&gt;J54))+((M55&gt;M54)+(M55=M54)*(L55&gt;L54)+(M55=M54)*(L55=L54)*(J55&gt;J54))+((M56&gt;M54)+(M56=M54)*(L56&gt;L54)+(M56=M54)*(L56=L54)*(J56&gt;J54))+((M57&gt;M54)+(M57=M54)*(L57&gt;L54)+(M57=M54)*(L57=L54)*(J57&gt;J54))+((M58&gt;M54)+(M58=M54)*(L58&gt;L54)+(M58=M54)*(L58=L54)*(J58&gt;J54))+((M59&gt;M54)+(M59=M54)*(L59&gt;L54)+(M59=M54)*(L59=L54)*(J59&gt;J54))+((M60&gt;M54)+(M60=M54)*(L60&gt;L54)+(M60=M54)*(L60=L54)*(J60&gt;J54))</f>
        <v>1</v>
      </c>
      <c r="O54" s="181" t="str">
        <f>IF(N54&lt;=8,VLOOKUP("yes",langTable,MATCH(langName,_lang!$A$1:$F$1,0),FALSE()),VLOOKUP("no",langTable,MATCH(langName,_lang!$A$1:$F$1,0),FALSE()))</f>
        <v>YES</v>
      </c>
      <c r="P54" s="35"/>
      <c r="Q54" s="34"/>
      <c r="R54" s="34"/>
      <c r="S54" s="34">
        <f t="shared" si="0"/>
        <v>1.054</v>
      </c>
      <c r="T54" s="34"/>
      <c r="U54" s="34"/>
      <c r="V54" s="34"/>
      <c r="W54" s="34"/>
      <c r="X54" s="34"/>
      <c r="Y54" s="34"/>
      <c r="Z54" s="34"/>
      <c r="AA54" s="34"/>
      <c r="AB54" s="34"/>
      <c r="AC54" s="35"/>
      <c r="AD54" s="34"/>
      <c r="AE54" s="34"/>
      <c r="AF54" s="34"/>
      <c r="AG54" s="34"/>
      <c r="AH54" s="34"/>
      <c r="AI54" s="34"/>
      <c r="AJ54" s="34"/>
      <c r="AK54" s="34"/>
      <c r="AL54" s="34"/>
      <c r="AM54" s="34"/>
      <c r="AN54" s="34"/>
      <c r="AO54" s="34"/>
      <c r="AP54" s="220"/>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row>
    <row r="55" spans="1:93" ht="15" customHeight="1">
      <c r="A55" s="34"/>
      <c r="B55" s="201"/>
      <c r="C55" s="212"/>
      <c r="D55" s="180" t="s">
        <v>98</v>
      </c>
      <c r="E55" s="182" t="str">
        <f t="array" ref="E55">IFERROR(INDEX($D$31:$D$34,MATCH(3,$P$31:$P$34,0)),"")</f>
        <v/>
      </c>
      <c r="F55" s="180">
        <f t="array" ref="F55">IFERROR(INDEX($H$31:$H$34,MATCH(3,$P$31:$P$34,0)),0)</f>
        <v>0</v>
      </c>
      <c r="G55" s="180">
        <f t="array" ref="G55">IFERROR(INDEX($I$31:$I$34,MATCH(3,$P$31:$P$34,0)),0)</f>
        <v>0</v>
      </c>
      <c r="H55" s="180">
        <f t="array" ref="H55">IFERROR(INDEX($J$31:$J$34,MATCH(3,$P$31:$P$34,0)),0)</f>
        <v>0</v>
      </c>
      <c r="I55" s="180">
        <f t="array" ref="I55">IFERROR(INDEX($K$31:$K$34,MATCH(3,$P$31:$P$34,0)),0)</f>
        <v>0</v>
      </c>
      <c r="J55" s="180">
        <f t="array" ref="J55">IFERROR(INDEX($L$31:$L$34,MATCH(3,$P$31:$P$34,0)),0)</f>
        <v>0</v>
      </c>
      <c r="K55" s="180">
        <f t="array" ref="K55">IFERROR(INDEX($M$31:$M$34,MATCH(3,$P$31:$P$34,0)),0)</f>
        <v>0</v>
      </c>
      <c r="L55" s="180">
        <f t="array" ref="L55">IFERROR(INDEX($N$31:$N$34,MATCH(3,$P$31:$P$34,0)),0)</f>
        <v>0</v>
      </c>
      <c r="M55" s="180">
        <f t="array" ref="M55">IFERROR(INDEX($O$31:$O$34,MATCH(3,$P$31:$P$34,0)),0)</f>
        <v>0</v>
      </c>
      <c r="N55" s="180">
        <f>1+((M49&gt;M55)+(M49=M55)*(L49&gt;L55)+(M49=M55)*(L49=L55)*(J49&gt;J55))+((M50&gt;M55)+(M50=M55)*(L50&gt;L55)+(M50=M55)*(L50=L55)*(J50&gt;J55))+((M51&gt;M55)+(M51=M55)*(L51&gt;L55)+(M51=M55)*(L51=L55)*(J51&gt;J55))+((M52&gt;M55)+(M52=M55)*(L52&gt;L55)+(M52=M55)*(L52=L55)*(J52&gt;J55))+((M53&gt;M55)+(M53=M55)*(L53&gt;L55)+(M53=M55)*(L53=L55)*(J53&gt;J55))+((M54&gt;M55)+(M54=M55)*(L54&gt;L55)+(M54=M55)*(L54=L55)*(J54&gt;J55))+((M56&gt;M55)+(M56=M55)*(L56&gt;L55)+(M56=M55)*(L56=L55)*(J56&gt;J55))+((M57&gt;M55)+(M57=M55)*(L57&gt;L55)+(M57=M55)*(L57=L55)*(J57&gt;J55))+((M58&gt;M55)+(M58=M55)*(L58&gt;L55)+(M58=M55)*(L58=L55)*(J58&gt;J55))+((M59&gt;M55)+(M59=M55)*(L59&gt;L55)+(M59=M55)*(L59=L55)*(J59&gt;J55))+((M60&gt;M55)+(M60=M55)*(L60&gt;L55)+(M60=M55)*(L60=L55)*(J60&gt;J55))</f>
        <v>1</v>
      </c>
      <c r="O55" s="181" t="str">
        <f>IF(N55&lt;=8,VLOOKUP("yes",langTable,MATCH(langName,_lang!$A$1:$F$1,0),FALSE()),VLOOKUP("no",langTable,MATCH(langName,_lang!$A$1:$F$1,0),FALSE()))</f>
        <v>YES</v>
      </c>
      <c r="P55" s="35"/>
      <c r="Q55" s="34"/>
      <c r="R55" s="34"/>
      <c r="S55" s="34">
        <f t="shared" si="0"/>
        <v>1.0549999999999999</v>
      </c>
      <c r="T55" s="34"/>
      <c r="U55" s="34"/>
      <c r="V55" s="34"/>
      <c r="W55" s="34"/>
      <c r="X55" s="34"/>
      <c r="Y55" s="34"/>
      <c r="Z55" s="34"/>
      <c r="AA55" s="34"/>
      <c r="AB55" s="34"/>
      <c r="AC55" s="35"/>
      <c r="AD55" s="34"/>
      <c r="AE55" s="34"/>
      <c r="AF55" s="34"/>
      <c r="AG55" s="34"/>
      <c r="AH55" s="34"/>
      <c r="AI55" s="34"/>
      <c r="AJ55" s="34"/>
      <c r="AK55" s="34"/>
      <c r="AL55" s="34"/>
      <c r="AM55" s="34"/>
      <c r="AN55" s="34"/>
      <c r="AO55" s="34"/>
      <c r="AP55" s="220"/>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row>
    <row r="56" spans="1:93" ht="15" customHeight="1">
      <c r="A56" s="34"/>
      <c r="B56" s="201"/>
      <c r="C56" s="212"/>
      <c r="D56" s="180" t="s">
        <v>99</v>
      </c>
      <c r="E56" s="182" t="str">
        <f t="array" ref="E56">IFERROR(INDEX($Q$31:$Q$34,MATCH(3,$AC$31:$AC$34,0)),"")</f>
        <v/>
      </c>
      <c r="F56" s="180">
        <f t="array" ref="F56">IFERROR(INDEX($U$31:$U$34,MATCH(3,$AC$31:$AC$34,0)),0)</f>
        <v>0</v>
      </c>
      <c r="G56" s="180">
        <f t="array" ref="G56">IFERROR(INDEX($V$31:$V$34,MATCH(3,$AC$31:$AC$34,0)),0)</f>
        <v>0</v>
      </c>
      <c r="H56" s="180">
        <f t="array" ref="H56">IFERROR(INDEX($W$31:$W$34,MATCH(3,$AC$31:$AC$34,0)),0)</f>
        <v>0</v>
      </c>
      <c r="I56" s="180">
        <f t="array" ref="I56">IFERROR(INDEX($X$31:$X$34,MATCH(3,$AC$31:$AC$34,0)),0)</f>
        <v>0</v>
      </c>
      <c r="J56" s="180">
        <f t="array" ref="J56">IFERROR(INDEX($Y$31:$Y$34,MATCH(3,$AC$31:$AC$34,0)),0)</f>
        <v>0</v>
      </c>
      <c r="K56" s="180">
        <f t="array" ref="K56">IFERROR(INDEX($Z$31:$Z$34,MATCH(3,$AC$31:$AC$34,0)),0)</f>
        <v>0</v>
      </c>
      <c r="L56" s="180">
        <f t="array" ref="L56">IFERROR(INDEX($AA$31:$AA$34,MATCH(3,$AC$31:$AC$34,0)),0)</f>
        <v>0</v>
      </c>
      <c r="M56" s="180">
        <f t="array" ref="M56">IFERROR(INDEX($AB$31:$AB$34,MATCH(3,$AC$31:$AC$34,0)),0)</f>
        <v>0</v>
      </c>
      <c r="N56" s="180">
        <f>1+((M49&gt;M56)+(M49=M56)*(L49&gt;L56)+(M49=M56)*(L49=L56)*(J49&gt;J56))+((M50&gt;M56)+(M50=M56)*(L50&gt;L56)+(M50=M56)*(L50=L56)*(J50&gt;J56))+((M51&gt;M56)+(M51=M56)*(L51&gt;L56)+(M51=M56)*(L51=L56)*(J51&gt;J56))+((M52&gt;M56)+(M52=M56)*(L52&gt;L56)+(M52=M56)*(L52=L56)*(J52&gt;J56))+((M53&gt;M56)+(M53=M56)*(L53&gt;L56)+(M53=M56)*(L53=L56)*(J53&gt;J56))+((M54&gt;M56)+(M54=M56)*(L54&gt;L56)+(M54=M56)*(L54=L56)*(J54&gt;J56))+((M55&gt;M56)+(M55=M56)*(L55&gt;L56)+(M55=M56)*(L55=L56)*(J55&gt;J56))+((M57&gt;M56)+(M57=M56)*(L57&gt;L56)+(M57=M56)*(L57=L56)*(J57&gt;J56))+((M58&gt;M56)+(M58=M56)*(L58&gt;L56)+(M58=M56)*(L58=L56)*(J58&gt;J56))+((M59&gt;M56)+(M59=M56)*(L59&gt;L56)+(M59=M56)*(L59=L56)*(J59&gt;J56))+((M60&gt;M56)+(M60=M56)*(L60&gt;L56)+(M60=M56)*(L60=L56)*(J60&gt;J56))</f>
        <v>1</v>
      </c>
      <c r="O56" s="181" t="str">
        <f>IF(N56&lt;=8,VLOOKUP("yes",langTable,MATCH(langName,_lang!$A$1:$F$1,0),FALSE()),VLOOKUP("no",langTable,MATCH(langName,_lang!$A$1:$F$1,0),FALSE()))</f>
        <v>YES</v>
      </c>
      <c r="P56" s="35"/>
      <c r="Q56" s="34"/>
      <c r="R56" s="34"/>
      <c r="S56" s="34">
        <f t="shared" si="0"/>
        <v>1.056</v>
      </c>
      <c r="T56" s="34"/>
      <c r="U56" s="34"/>
      <c r="V56" s="34"/>
      <c r="W56" s="34"/>
      <c r="X56" s="34"/>
      <c r="Y56" s="34"/>
      <c r="Z56" s="34"/>
      <c r="AA56" s="34"/>
      <c r="AB56" s="34"/>
      <c r="AC56" s="35"/>
      <c r="AD56" s="34"/>
      <c r="AE56" s="34"/>
      <c r="AF56" s="34"/>
      <c r="AG56" s="34"/>
      <c r="AH56" s="34"/>
      <c r="AI56" s="34"/>
      <c r="AJ56" s="34"/>
      <c r="AK56" s="34"/>
      <c r="AL56" s="34"/>
      <c r="AM56" s="34"/>
      <c r="AN56" s="34"/>
      <c r="AO56" s="34"/>
      <c r="AP56" s="220"/>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row>
    <row r="57" spans="1:93" ht="15" customHeight="1">
      <c r="A57" s="34"/>
      <c r="B57" s="201"/>
      <c r="C57" s="212"/>
      <c r="D57" s="180" t="s">
        <v>100</v>
      </c>
      <c r="E57" s="182" t="str">
        <f t="array" ref="E57">IFERROR(INDEX($AD$31:$AD$34,MATCH(3,$AP$31:$AP$34,0)),"")</f>
        <v/>
      </c>
      <c r="F57" s="180">
        <f t="array" ref="F57">IFERROR(INDEX($AH$31:$AH$34,MATCH(3,$AP$31:$AP$34,0)),0)</f>
        <v>0</v>
      </c>
      <c r="G57" s="180">
        <f t="array" ref="G57">IFERROR(INDEX($AI$31:$AI$34,MATCH(3,$AP$31:$AP$34,0)),0)</f>
        <v>0</v>
      </c>
      <c r="H57" s="180">
        <f t="array" ref="H57">IFERROR(INDEX($AJ$31:$AJ$34,MATCH(3,$AP$31:$AP$34,0)),0)</f>
        <v>0</v>
      </c>
      <c r="I57" s="180">
        <f t="array" ref="I57">IFERROR(INDEX($AK$31:$AK$34,MATCH(3,$AP$31:$AP$34,0)),0)</f>
        <v>0</v>
      </c>
      <c r="J57" s="180">
        <f t="array" ref="J57">IFERROR(INDEX($AL$31:$AL$34,MATCH(3,$AP$31:$AP$34,0)),0)</f>
        <v>0</v>
      </c>
      <c r="K57" s="180">
        <f t="array" ref="K57">IFERROR(INDEX($AM$31:$AM$34,MATCH(3,$AP$31:$AP$34,0)),0)</f>
        <v>0</v>
      </c>
      <c r="L57" s="180">
        <f t="array" ref="L57">IFERROR(INDEX($AN$31:$AN$34,MATCH(3,$AP$31:$AP$34,0)),0)</f>
        <v>0</v>
      </c>
      <c r="M57" s="180">
        <f t="array" ref="M57">IFERROR(INDEX($AO$31:$AO$34,MATCH(3,$AP$31:$AP$34,0)),0)</f>
        <v>0</v>
      </c>
      <c r="N57" s="180">
        <f>1+((M49&gt;M57)+(M49=M57)*(L49&gt;L57)+(M49=M57)*(L49=L57)*(J49&gt;J57))+((M50&gt;M57)+(M50=M57)*(L50&gt;L57)+(M50=M57)*(L50=L57)*(J50&gt;J57))+((M51&gt;M57)+(M51=M57)*(L51&gt;L57)+(M51=M57)*(L51=L57)*(J51&gt;J57))+((M52&gt;M57)+(M52=M57)*(L52&gt;L57)+(M52=M57)*(L52=L57)*(J52&gt;J57))+((M53&gt;M57)+(M53=M57)*(L53&gt;L57)+(M53=M57)*(L53=L57)*(J53&gt;J57))+((M54&gt;M57)+(M54=M57)*(L54&gt;L57)+(M54=M57)*(L54=L57)*(J54&gt;J57))+((M55&gt;M57)+(M55=M57)*(L55&gt;L57)+(M55=M57)*(L55=L57)*(J55&gt;J57))+((M56&gt;M57)+(M56=M57)*(L56&gt;L57)+(M56=M57)*(L56=L57)*(J56&gt;J57))+((M58&gt;M57)+(M58=M57)*(L58&gt;L57)+(M58=M57)*(L58=L57)*(J58&gt;J57))+((M59&gt;M57)+(M59=M57)*(L59&gt;L57)+(M59=M57)*(L59=L57)*(J59&gt;J57))+((M60&gt;M57)+(M60=M57)*(L60&gt;L57)+(M60=M57)*(L60=L57)*(J60&gt;J57))</f>
        <v>1</v>
      </c>
      <c r="O57" s="181" t="str">
        <f>IF(N57&lt;=8,VLOOKUP("yes",langTable,MATCH(langName,_lang!$A$1:$F$1,0),FALSE()),VLOOKUP("no",langTable,MATCH(langName,_lang!$A$1:$F$1,0),FALSE()))</f>
        <v>YES</v>
      </c>
      <c r="P57" s="35"/>
      <c r="Q57" s="34"/>
      <c r="R57" s="34"/>
      <c r="S57" s="34">
        <f t="shared" si="0"/>
        <v>1.0569999999999999</v>
      </c>
      <c r="T57" s="34"/>
      <c r="U57" s="34"/>
      <c r="V57" s="34"/>
      <c r="W57" s="34"/>
      <c r="X57" s="34"/>
      <c r="Y57" s="34"/>
      <c r="Z57" s="34"/>
      <c r="AA57" s="34"/>
      <c r="AB57" s="34"/>
      <c r="AC57" s="35"/>
      <c r="AD57" s="34"/>
      <c r="AE57" s="34"/>
      <c r="AF57" s="34"/>
      <c r="AG57" s="34"/>
      <c r="AH57" s="34"/>
      <c r="AI57" s="34"/>
      <c r="AJ57" s="34"/>
      <c r="AK57" s="34"/>
      <c r="AL57" s="34"/>
      <c r="AM57" s="34"/>
      <c r="AN57" s="34"/>
      <c r="AO57" s="34"/>
      <c r="AP57" s="220"/>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row>
    <row r="58" spans="1:93" ht="15" customHeight="1">
      <c r="A58" s="34"/>
      <c r="B58" s="201"/>
      <c r="C58" s="212"/>
      <c r="D58" s="180" t="s">
        <v>101</v>
      </c>
      <c r="E58" s="182" t="str">
        <f t="array" ref="E58">IFERROR(INDEX($D$40:$D$43,MATCH(3,$P$40:$P$43,0)),"")</f>
        <v/>
      </c>
      <c r="F58" s="180">
        <f t="array" ref="F58">IFERROR(INDEX($H$40:$H$43,MATCH(3,$P$40:$P$43,0)),0)</f>
        <v>0</v>
      </c>
      <c r="G58" s="180">
        <f t="array" ref="G58">IFERROR(INDEX($I$40:$I$43,MATCH(3,$P$40:$P$43,0)),0)</f>
        <v>0</v>
      </c>
      <c r="H58" s="180">
        <f t="array" ref="H58">IFERROR(INDEX($J$40:$J$43,MATCH(3,$P$40:$P$43,0)),0)</f>
        <v>0</v>
      </c>
      <c r="I58" s="180">
        <f t="array" ref="I58">IFERROR(INDEX($K$40:$K$43,MATCH(3,$P$40:$P$43,0)),0)</f>
        <v>0</v>
      </c>
      <c r="J58" s="180">
        <f t="array" ref="J58">IFERROR(INDEX($L$40:$L$43,MATCH(3,$P$40:$P$43,0)),0)</f>
        <v>0</v>
      </c>
      <c r="K58" s="180">
        <f t="array" ref="K58">IFERROR(INDEX($M$40:$M$43,MATCH(3,$P$40:$P$43,0)),0)</f>
        <v>0</v>
      </c>
      <c r="L58" s="180">
        <f t="array" ref="L58">IFERROR(INDEX($N$40:$N$43,MATCH(3,$P$40:$P$43,0)),0)</f>
        <v>0</v>
      </c>
      <c r="M58" s="180">
        <f t="array" ref="M58">IFERROR(INDEX($O$40:$O$43,MATCH(3,$P$40:$P$43,0)),0)</f>
        <v>0</v>
      </c>
      <c r="N58" s="180">
        <f>1+((M49&gt;M58)+(M49=M58)*(L49&gt;L58)+(M49=M58)*(L49=L58)*(J49&gt;J58))+((M50&gt;M58)+(M50=M58)*(L50&gt;L58)+(M50=M58)*(L50=L58)*(J50&gt;J58))+((M51&gt;M58)+(M51=M58)*(L51&gt;L58)+(M51=M58)*(L51=L58)*(J51&gt;J58))+((M52&gt;M58)+(M52=M58)*(L52&gt;L58)+(M52=M58)*(L52=L58)*(J52&gt;J58))+((M53&gt;M58)+(M53=M58)*(L53&gt;L58)+(M53=M58)*(L53=L58)*(J53&gt;J58))+((M54&gt;M58)+(M54=M58)*(L54&gt;L58)+(M54=M58)*(L54=L58)*(J54&gt;J58))+((M55&gt;M58)+(M55=M58)*(L55&gt;L58)+(M55=M58)*(L55=L58)*(J55&gt;J58))+((M56&gt;M58)+(M56=M58)*(L56&gt;L58)+(M56=M58)*(L56=L58)*(J56&gt;J58))+((M57&gt;M58)+(M57=M58)*(L57&gt;L58)+(M57=M58)*(L57=L58)*(J57&gt;J58))+((M59&gt;M58)+(M59=M58)*(L59&gt;L58)+(M59=M58)*(L59=L58)*(J59&gt;J58))+((M60&gt;M58)+(M60=M58)*(L60&gt;L58)+(M60=M58)*(L60=L58)*(J60&gt;J58))</f>
        <v>1</v>
      </c>
      <c r="O58" s="181" t="str">
        <f>IF(N58&lt;=8,VLOOKUP("yes",langTable,MATCH(langName,_lang!$A$1:$F$1,0),FALSE()),VLOOKUP("no",langTable,MATCH(langName,_lang!$A$1:$F$1,0),FALSE()))</f>
        <v>YES</v>
      </c>
      <c r="P58" s="35"/>
      <c r="Q58" s="34"/>
      <c r="R58" s="34"/>
      <c r="S58" s="34">
        <f t="shared" si="0"/>
        <v>1.0580000000000001</v>
      </c>
      <c r="T58" s="34"/>
      <c r="U58" s="34"/>
      <c r="V58" s="34"/>
      <c r="W58" s="34"/>
      <c r="X58" s="34"/>
      <c r="Y58" s="34"/>
      <c r="Z58" s="34"/>
      <c r="AA58" s="34"/>
      <c r="AB58" s="34"/>
      <c r="AC58" s="35"/>
      <c r="AD58" s="34"/>
      <c r="AE58" s="34"/>
      <c r="AF58" s="34"/>
      <c r="AG58" s="34"/>
      <c r="AH58" s="34"/>
      <c r="AI58" s="34"/>
      <c r="AJ58" s="34"/>
      <c r="AK58" s="34"/>
      <c r="AL58" s="34"/>
      <c r="AM58" s="34"/>
      <c r="AN58" s="34"/>
      <c r="AO58" s="34"/>
      <c r="AP58" s="220"/>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row>
    <row r="59" spans="1:93" ht="15" customHeight="1">
      <c r="A59" s="34"/>
      <c r="B59" s="201"/>
      <c r="C59" s="212"/>
      <c r="D59" s="180" t="s">
        <v>102</v>
      </c>
      <c r="E59" s="182" t="str">
        <f t="array" ref="E59">IFERROR(INDEX($Q$40:$Q$43,MATCH(3,$AC$40:$AC$43,0)),"")</f>
        <v/>
      </c>
      <c r="F59" s="180">
        <f t="array" ref="F59">IFERROR(INDEX($U$40:$U$43,MATCH(3,$AC$40:$AC$43,0)),0)</f>
        <v>0</v>
      </c>
      <c r="G59" s="180">
        <f t="array" ref="G59">IFERROR(INDEX($V$40:$V$43,MATCH(3,$AC$40:$AC$43,0)),0)</f>
        <v>0</v>
      </c>
      <c r="H59" s="180">
        <f t="array" ref="H59">IFERROR(INDEX($W$40:$W$43,MATCH(3,$AC$40:$AC$43,0)),0)</f>
        <v>0</v>
      </c>
      <c r="I59" s="180">
        <f t="array" ref="I59">IFERROR(INDEX($X$40:$X$43,MATCH(3,$AC$40:$AC$43,0)),0)</f>
        <v>0</v>
      </c>
      <c r="J59" s="180">
        <f t="array" ref="J59">IFERROR(INDEX($Y$40:$Y$43,MATCH(3,$AC$40:$AC$43,0)),0)</f>
        <v>0</v>
      </c>
      <c r="K59" s="180">
        <f t="array" ref="K59">IFERROR(INDEX($Z$40:$Z$43,MATCH(3,$AC$40:$AC$43,0)),0)</f>
        <v>0</v>
      </c>
      <c r="L59" s="180">
        <f t="array" ref="L59">IFERROR(INDEX($AA$40:$AA$43,MATCH(3,$AC$40:$AC$43,0)),0)</f>
        <v>0</v>
      </c>
      <c r="M59" s="180">
        <f t="array" ref="M59">IFERROR(INDEX($AB$40:$AB$43,MATCH(3,$AC$40:$AC$43,0)),0)</f>
        <v>0</v>
      </c>
      <c r="N59" s="180">
        <f>1+((M49&gt;M59)+(M49=M59)*(L49&gt;L59)+(M49=M59)*(L49=L59)*(J49&gt;J59))+((M50&gt;M59)+(M50=M59)*(L50&gt;L59)+(M50=M59)*(L50=L59)*(J50&gt;J59))+((M51&gt;M59)+(M51=M59)*(L51&gt;L59)+(M51=M59)*(L51=L59)*(J51&gt;J59))+((M52&gt;M59)+(M52=M59)*(L52&gt;L59)+(M52=M59)*(L52=L59)*(J52&gt;J59))+((M53&gt;M59)+(M53=M59)*(L53&gt;L59)+(M53=M59)*(L53=L59)*(J53&gt;J59))+((M54&gt;M59)+(M54=M59)*(L54&gt;L59)+(M54=M59)*(L54=L59)*(J54&gt;J59))+((M55&gt;M59)+(M55=M59)*(L55&gt;L59)+(M55=M59)*(L55=L59)*(J55&gt;J59))+((M56&gt;M59)+(M56=M59)*(L56&gt;L59)+(M56=M59)*(L56=L59)*(J56&gt;J59))+((M57&gt;M59)+(M57=M59)*(L57&gt;L59)+(M57=M59)*(L57=L59)*(J57&gt;J59))+((M58&gt;M59)+(M58=M59)*(L58&gt;L59)+(M58=M59)*(L58=L59)*(J58&gt;J59))+((M60&gt;M59)+(M60=M59)*(L60&gt;L59)+(M60=M59)*(L60=L59)*(J60&gt;J59))</f>
        <v>1</v>
      </c>
      <c r="O59" s="181" t="str">
        <f>IF(N59&lt;=8,VLOOKUP("yes",langTable,MATCH(langName,_lang!$A$1:$F$1,0),FALSE()),VLOOKUP("no",langTable,MATCH(langName,_lang!$A$1:$F$1,0),FALSE()))</f>
        <v>YES</v>
      </c>
      <c r="P59" s="35"/>
      <c r="Q59" s="34"/>
      <c r="R59" s="34"/>
      <c r="S59" s="34">
        <f t="shared" si="0"/>
        <v>1.0589999999999999</v>
      </c>
      <c r="T59" s="34"/>
      <c r="U59" s="34"/>
      <c r="V59" s="34"/>
      <c r="W59" s="34"/>
      <c r="X59" s="34"/>
      <c r="Y59" s="34"/>
      <c r="Z59" s="34"/>
      <c r="AA59" s="34"/>
      <c r="AB59" s="34"/>
      <c r="AC59" s="35"/>
      <c r="AD59" s="34"/>
      <c r="AE59" s="34"/>
      <c r="AF59" s="34"/>
      <c r="AG59" s="34"/>
      <c r="AH59" s="34"/>
      <c r="AI59" s="34"/>
      <c r="AJ59" s="34"/>
      <c r="AK59" s="34"/>
      <c r="AL59" s="34"/>
      <c r="AM59" s="34"/>
      <c r="AN59" s="34"/>
      <c r="AO59" s="34"/>
      <c r="AP59" s="220"/>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row>
    <row r="60" spans="1:93" ht="15" customHeight="1">
      <c r="A60" s="34"/>
      <c r="B60" s="201"/>
      <c r="C60" s="212"/>
      <c r="D60" s="180" t="s">
        <v>103</v>
      </c>
      <c r="E60" s="182" t="str">
        <f t="array" ref="E60">IFERROR(INDEX($AD$40:$AD$43,MATCH(3,$AP$40:$AP$43,0)),"")</f>
        <v/>
      </c>
      <c r="F60" s="180">
        <f t="array" ref="F60">IFERROR(INDEX($AH$40:$AH$43,MATCH(3,$AP$40:$AP$43,0)),0)</f>
        <v>0</v>
      </c>
      <c r="G60" s="180">
        <f t="array" ref="G60">IFERROR(INDEX($AI$40:$AI$43,MATCH(3,$AP$40:$AP$43,0)),0)</f>
        <v>0</v>
      </c>
      <c r="H60" s="180">
        <f t="array" ref="H60">IFERROR(INDEX($AJ$40:$AJ$43,MATCH(3,$AP$40:$AP$43,0)),0)</f>
        <v>0</v>
      </c>
      <c r="I60" s="180">
        <f t="array" ref="I60">IFERROR(INDEX($AK$40:$AK$43,MATCH(3,$AP$40:$AP$43,0)),0)</f>
        <v>0</v>
      </c>
      <c r="J60" s="180">
        <f t="array" ref="J60">IFERROR(INDEX($AL$40:$AL$43,MATCH(3,$AP$40:$AP$43,0)),0)</f>
        <v>0</v>
      </c>
      <c r="K60" s="180">
        <f t="array" ref="K60">IFERROR(INDEX($AM$40:$AM$43,MATCH(3,$AP$40:$AP$43,0)),0)</f>
        <v>0</v>
      </c>
      <c r="L60" s="180">
        <f t="array" ref="L60">IFERROR(INDEX($AN$40:$AN$43,MATCH(3,$AP$40:$AP$43,0)),0)</f>
        <v>0</v>
      </c>
      <c r="M60" s="180">
        <f t="array" ref="M60">IFERROR(INDEX($AO$40:$AO$43,MATCH(3,$AP$40:$AP$43,0)),0)</f>
        <v>0</v>
      </c>
      <c r="N60" s="180">
        <f>1+((M49&gt;M60)+(M49=M60)*(L49&gt;L60)+(M49=M60)*(L49=L60)*(J49&gt;J60))+((M50&gt;M60)+(M50=M60)*(L50&gt;L60)+(M50=M60)*(L50=L60)*(J50&gt;J60))+((M51&gt;M60)+(M51=M60)*(L51&gt;L60)+(M51=M60)*(L51=L60)*(J51&gt;J60))+((M52&gt;M60)+(M52=M60)*(L52&gt;L60)+(M52=M60)*(L52=L60)*(J52&gt;J60))+((M53&gt;M60)+(M53=M60)*(L53&gt;L60)+(M53=M60)*(L53=L60)*(J53&gt;J60))+((M54&gt;M60)+(M54=M60)*(L54&gt;L60)+(M54=M60)*(L54=L60)*(J54&gt;J60))+((M55&gt;M60)+(M55=M60)*(L55&gt;L60)+(M55=M60)*(L55=L60)*(J55&gt;J60))+((M56&gt;M60)+(M56=M60)*(L56&gt;L60)+(M56=M60)*(L56=L60)*(J56&gt;J60))+((M57&gt;M60)+(M57=M60)*(L57&gt;L60)+(M57=M60)*(L57=L60)*(J57&gt;J60))+((M58&gt;M60)+(M58=M60)*(L58&gt;L60)+(M58=M60)*(L58=L60)*(J58&gt;J60))+((M59&gt;M60)+(M59=M60)*(L59&gt;L60)+(M59=M60)*(L59=L60)*(J59&gt;J60))</f>
        <v>1</v>
      </c>
      <c r="O60" s="181" t="str">
        <f>IF(N60&lt;=8,VLOOKUP("yes",langTable,MATCH(langName,_lang!$A$1:$F$1,0),FALSE()),VLOOKUP("no",langTable,MATCH(langName,_lang!$A$1:$F$1,0),FALSE()))</f>
        <v>YES</v>
      </c>
      <c r="P60" s="35"/>
      <c r="Q60" s="34"/>
      <c r="R60" s="34"/>
      <c r="S60" s="34">
        <f t="shared" si="0"/>
        <v>1.06</v>
      </c>
      <c r="T60" s="34"/>
      <c r="U60" s="34"/>
      <c r="V60" s="34"/>
      <c r="W60" s="34"/>
      <c r="X60" s="34"/>
      <c r="Y60" s="34"/>
      <c r="Z60" s="34"/>
      <c r="AA60" s="34"/>
      <c r="AB60" s="34"/>
      <c r="AC60" s="35"/>
      <c r="AD60" s="34"/>
      <c r="AE60" s="34"/>
      <c r="AF60" s="34"/>
      <c r="AG60" s="34"/>
      <c r="AH60" s="34"/>
      <c r="AI60" s="34"/>
      <c r="AJ60" s="34"/>
      <c r="AK60" s="34"/>
      <c r="AL60" s="34"/>
      <c r="AM60" s="34"/>
      <c r="AN60" s="34"/>
      <c r="AO60" s="34"/>
      <c r="AP60" s="220"/>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row>
    <row r="61" spans="1:93" ht="7.5" customHeight="1">
      <c r="A61" s="34"/>
      <c r="B61" s="201"/>
      <c r="C61" s="201"/>
      <c r="D61" s="237"/>
      <c r="E61" s="237"/>
      <c r="F61" s="237"/>
      <c r="G61" s="237"/>
      <c r="H61" s="237"/>
      <c r="I61" s="237"/>
      <c r="J61" s="237"/>
      <c r="K61" s="237"/>
      <c r="L61" s="237"/>
      <c r="M61" s="237"/>
      <c r="N61" s="237"/>
      <c r="O61" s="237"/>
      <c r="P61" s="238"/>
      <c r="Q61" s="237"/>
      <c r="R61" s="237"/>
      <c r="S61" s="237"/>
      <c r="T61" s="237"/>
      <c r="U61" s="237"/>
      <c r="V61" s="237"/>
      <c r="W61" s="237"/>
      <c r="X61" s="237"/>
      <c r="Y61" s="237"/>
      <c r="Z61" s="237"/>
      <c r="AA61" s="237"/>
      <c r="AB61" s="237"/>
      <c r="AC61" s="238"/>
      <c r="AD61" s="237"/>
      <c r="AE61" s="237"/>
      <c r="AF61" s="237"/>
      <c r="AG61" s="237"/>
      <c r="AH61" s="237"/>
      <c r="AI61" s="237"/>
      <c r="AJ61" s="237"/>
      <c r="AK61" s="237"/>
      <c r="AL61" s="237"/>
      <c r="AM61" s="237"/>
      <c r="AN61" s="237"/>
      <c r="AO61" s="237"/>
      <c r="AP61" s="35"/>
      <c r="AQ61" s="35"/>
      <c r="AR61" s="35"/>
      <c r="AS61" s="35"/>
      <c r="AT61" s="35"/>
      <c r="AU61" s="35"/>
      <c r="AV61" s="35"/>
      <c r="AW61" s="35"/>
      <c r="AX61" s="35">
        <v>1</v>
      </c>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row>
    <row r="62" spans="1:93" ht="7.5" customHeight="1">
      <c r="A62" s="28"/>
      <c r="B62" s="196"/>
      <c r="C62" s="28"/>
      <c r="D62" s="28"/>
      <c r="E62" s="28"/>
      <c r="F62" s="28"/>
      <c r="G62" s="28"/>
      <c r="H62" s="28"/>
      <c r="I62" s="28"/>
      <c r="J62" s="28"/>
      <c r="K62" s="28"/>
      <c r="L62" s="28"/>
      <c r="M62" s="28"/>
      <c r="N62" s="28"/>
      <c r="O62" s="28"/>
      <c r="P62" s="32"/>
      <c r="Q62" s="28"/>
      <c r="R62" s="28"/>
      <c r="S62" s="28"/>
      <c r="T62" s="28"/>
      <c r="U62" s="28"/>
      <c r="V62" s="28"/>
      <c r="W62" s="28"/>
      <c r="X62" s="28"/>
      <c r="Y62" s="28"/>
      <c r="Z62" s="28"/>
      <c r="AA62" s="28"/>
      <c r="AB62" s="28"/>
      <c r="AC62" s="32"/>
      <c r="AD62" s="28"/>
      <c r="AE62" s="28"/>
      <c r="AF62" s="28"/>
      <c r="AG62" s="28"/>
      <c r="AH62" s="28"/>
      <c r="AI62" s="28"/>
      <c r="AJ62" s="28"/>
      <c r="AK62" s="28"/>
      <c r="AL62" s="28"/>
      <c r="AM62" s="28"/>
      <c r="AN62" s="28"/>
      <c r="AO62" s="28"/>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row>
    <row r="63" spans="1:93" ht="18" hidden="1" customHeight="1">
      <c r="A63" s="38"/>
      <c r="B63" s="203"/>
      <c r="C63" s="38"/>
      <c r="D63" s="346"/>
      <c r="E63" s="267"/>
      <c r="F63" s="267"/>
      <c r="G63" s="267"/>
      <c r="H63" s="267"/>
      <c r="I63" s="267"/>
      <c r="J63" s="267"/>
      <c r="K63" s="267"/>
      <c r="L63" s="267"/>
      <c r="M63" s="267"/>
      <c r="N63" s="267"/>
      <c r="O63" s="267"/>
      <c r="P63" s="267"/>
      <c r="Q63" s="267"/>
      <c r="R63" s="28"/>
      <c r="S63" s="28"/>
      <c r="T63" s="28"/>
      <c r="U63" s="28"/>
      <c r="V63" s="28"/>
      <c r="W63" s="28"/>
      <c r="X63" s="28"/>
      <c r="Y63" s="28"/>
      <c r="Z63" s="28"/>
      <c r="AA63" s="28"/>
      <c r="AB63" s="28"/>
      <c r="AC63" s="32"/>
      <c r="AD63" s="28"/>
      <c r="AE63" s="28"/>
      <c r="AF63" s="28"/>
      <c r="AG63" s="28"/>
      <c r="AH63" s="28"/>
      <c r="AI63" s="28"/>
      <c r="AJ63" s="28"/>
      <c r="AK63" s="28"/>
      <c r="AL63" s="28"/>
      <c r="AM63" s="28"/>
      <c r="AN63" s="28"/>
      <c r="AO63" s="28"/>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row>
    <row r="64" spans="1:93" ht="15" hidden="1" customHeight="1">
      <c r="A64" s="28"/>
      <c r="B64" s="196"/>
      <c r="C64" s="28"/>
      <c r="D64" s="39" t="str">
        <f>VLOOKUP("hdr_r32_match",langTable,MATCH(langName,_lang!$A$1:$F$1,0),FALSE())</f>
        <v>R32 Match</v>
      </c>
      <c r="E64" s="39" t="str">
        <f>VLOOKUP("hdr_elig_grps",langTable,MATCH(langName,_lang!$A$1:$F$1,0),FALSE())</f>
        <v>Eligible groups</v>
      </c>
      <c r="F64" s="39" t="str">
        <f>VLOOKUP("hdr_picked",langTable,MATCH(langName,_lang!$A$1:$F$1,0),FALSE())</f>
        <v>Picked team</v>
      </c>
      <c r="G64" s="39" t="s">
        <v>104</v>
      </c>
      <c r="H64" s="39" t="s">
        <v>105</v>
      </c>
      <c r="I64" s="39" t="s">
        <v>106</v>
      </c>
      <c r="J64" s="39" t="s">
        <v>107</v>
      </c>
      <c r="K64" s="39" t="s">
        <v>108</v>
      </c>
      <c r="L64" s="39" t="s">
        <v>109</v>
      </c>
      <c r="M64" s="39" t="s">
        <v>110</v>
      </c>
      <c r="N64" s="39" t="s">
        <v>111</v>
      </c>
      <c r="O64" s="39" t="s">
        <v>112</v>
      </c>
      <c r="P64" s="40" t="s">
        <v>113</v>
      </c>
      <c r="Q64" s="39" t="s">
        <v>114</v>
      </c>
      <c r="R64" s="39" t="s">
        <v>115</v>
      </c>
      <c r="S64" s="28"/>
      <c r="T64" s="28"/>
      <c r="U64" s="28"/>
      <c r="V64" s="28"/>
      <c r="W64" s="28"/>
      <c r="X64" s="28"/>
      <c r="Y64" s="28"/>
      <c r="Z64" s="28"/>
      <c r="AA64" s="28"/>
      <c r="AB64" s="28"/>
      <c r="AC64" s="32"/>
      <c r="AD64" s="28"/>
      <c r="AE64" s="28"/>
      <c r="AF64" s="28"/>
      <c r="AG64" s="28"/>
      <c r="AH64" s="28"/>
      <c r="AI64" s="28"/>
      <c r="AJ64" s="28"/>
      <c r="AK64" s="28"/>
      <c r="AL64" s="28"/>
      <c r="AM64" s="28"/>
      <c r="AN64" s="28"/>
      <c r="AO64" s="28"/>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row>
    <row r="65" spans="1:93" ht="15" hidden="1" customHeight="1">
      <c r="A65" s="28"/>
      <c r="B65" s="196"/>
      <c r="C65" s="28"/>
      <c r="D65" s="41" t="s">
        <v>116</v>
      </c>
      <c r="E65" s="41" t="s">
        <v>117</v>
      </c>
      <c r="F65" s="42" t="str">
        <f>IFERROR(INDEX($E$49:$E$60,MATCH(SMALL($S$49:$S$60,1),$S$49:$S$60,0)),"TBC")</f>
        <v/>
      </c>
      <c r="G65" s="41">
        <f>IF(AND(N49&lt;=8,ISNUMBER(SEARCH(D49,"ABCDF"))),N49,999)</f>
        <v>1</v>
      </c>
      <c r="H65" s="41">
        <f>IF(AND(N50&lt;=8,ISNUMBER(SEARCH(D50,"ABCDF"))),N50,999)</f>
        <v>1</v>
      </c>
      <c r="I65" s="41">
        <f>IF(AND(N51&lt;=8,ISNUMBER(SEARCH(D51,"ABCDF"))),N51,999)</f>
        <v>1</v>
      </c>
      <c r="J65" s="41">
        <f>IF(AND(N52&lt;=8,ISNUMBER(SEARCH(D52,"ABCDF"))),N52,999)</f>
        <v>1</v>
      </c>
      <c r="K65" s="41">
        <f>IF(AND(N53&lt;=8,ISNUMBER(SEARCH(D53,"ABCDF"))),N53,999)</f>
        <v>999</v>
      </c>
      <c r="L65" s="41">
        <f>IF(AND(N54&lt;=8,ISNUMBER(SEARCH(D54,"ABCDF"))),N54,999)</f>
        <v>1</v>
      </c>
      <c r="M65" s="41">
        <f>IF(AND(N55&lt;=8,ISNUMBER(SEARCH(D55,"ABCDF"))),N55,999)</f>
        <v>999</v>
      </c>
      <c r="N65" s="41">
        <f>IF(AND(N56&lt;=8,ISNUMBER(SEARCH(D56,"ABCDF"))),N56,999)</f>
        <v>999</v>
      </c>
      <c r="O65" s="41">
        <f>IF(AND(N57&lt;=8,ISNUMBER(SEARCH(D57,"ABCDF"))),N57,999)</f>
        <v>999</v>
      </c>
      <c r="P65" s="43">
        <f>IF(AND(N58&lt;=8,ISNUMBER(SEARCH(D58,"ABCDF"))),N58,999)</f>
        <v>999</v>
      </c>
      <c r="Q65" s="41">
        <f>IF(AND(N59&lt;=8,ISNUMBER(SEARCH(D59,"ABCDF"))),N59,999)</f>
        <v>999</v>
      </c>
      <c r="R65" s="41">
        <f>IF(AND(N60&lt;=8,ISNUMBER(SEARCH(D60,"ABCDF"))),N60,999)</f>
        <v>999</v>
      </c>
      <c r="S65" s="28"/>
      <c r="T65" s="28"/>
      <c r="U65" s="28"/>
      <c r="V65" s="28"/>
      <c r="W65" s="28"/>
      <c r="X65" s="28"/>
      <c r="Y65" s="28"/>
      <c r="Z65" s="28"/>
      <c r="AA65" s="28"/>
      <c r="AB65" s="28"/>
      <c r="AC65" s="32"/>
      <c r="AD65" s="28"/>
      <c r="AE65" s="28"/>
      <c r="AF65" s="28"/>
      <c r="AG65" s="28"/>
      <c r="AH65" s="28"/>
      <c r="AI65" s="28"/>
      <c r="AJ65" s="28"/>
      <c r="AK65" s="28"/>
      <c r="AL65" s="28"/>
      <c r="AM65" s="28"/>
      <c r="AN65" s="28"/>
      <c r="AO65" s="28"/>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row>
    <row r="66" spans="1:93" ht="15" hidden="1" customHeight="1">
      <c r="A66" s="28"/>
      <c r="B66" s="196"/>
      <c r="C66" s="28"/>
      <c r="D66" s="41" t="s">
        <v>118</v>
      </c>
      <c r="E66" s="41" t="s">
        <v>119</v>
      </c>
      <c r="F66" s="42" t="str">
        <f>IFERROR(INDEX($E$49:$E$60,MATCH(SMALL($S$49:$S$60,2),$S$49:$S$60,0)),"TBC")</f>
        <v/>
      </c>
      <c r="G66" s="41">
        <f>IF(AND(N49&lt;=8,ISNUMBER(SEARCH(D49,"CDFGH")),COUNTIF($F$65,$E$49)=0),N49,999)</f>
        <v>999</v>
      </c>
      <c r="H66" s="41">
        <f>IF(AND(N50&lt;=8,ISNUMBER(SEARCH(D50,"CDFGH")),COUNTIF($F$65,$E$50)=0),N50,999)</f>
        <v>999</v>
      </c>
      <c r="I66" s="41">
        <f>IF(AND(N51&lt;=8,ISNUMBER(SEARCH(D51,"CDFGH")),COUNTIF($F$65,$E$51)=0),N51,999)</f>
        <v>999</v>
      </c>
      <c r="J66" s="41">
        <f>IF(AND(N52&lt;=8,ISNUMBER(SEARCH(D52,"CDFGH")),COUNTIF($F$65,$E$52)=0),N52,999)</f>
        <v>999</v>
      </c>
      <c r="K66" s="41">
        <f>IF(AND(N53&lt;=8,ISNUMBER(SEARCH(D53,"CDFGH")),COUNTIF($F$65,$E$53)=0),N53,999)</f>
        <v>999</v>
      </c>
      <c r="L66" s="41">
        <f>IF(AND(N54&lt;=8,ISNUMBER(SEARCH(D54,"CDFGH")),COUNTIF($F$65,$E$54)=0),N54,999)</f>
        <v>999</v>
      </c>
      <c r="M66" s="41">
        <f>IF(AND(N55&lt;=8,ISNUMBER(SEARCH(D55,"CDFGH")),COUNTIF($F$65,$E$55)=0),N55,999)</f>
        <v>999</v>
      </c>
      <c r="N66" s="41">
        <f>IF(AND(N56&lt;=8,ISNUMBER(SEARCH(D56,"CDFGH")),COUNTIF($F$65,$E$56)=0),N56,999)</f>
        <v>999</v>
      </c>
      <c r="O66" s="41">
        <f>IF(AND(N57&lt;=8,ISNUMBER(SEARCH(D57,"CDFGH")),COUNTIF($F$65,$E$57)=0),N57,999)</f>
        <v>999</v>
      </c>
      <c r="P66" s="43">
        <f>IF(AND(N58&lt;=8,ISNUMBER(SEARCH(D58,"CDFGH")),COUNTIF($F$65,$E$58)=0),N58,999)</f>
        <v>999</v>
      </c>
      <c r="Q66" s="41">
        <f>IF(AND(N59&lt;=8,ISNUMBER(SEARCH(D59,"CDFGH")),COUNTIF($F$65,$E$59)=0),N59,999)</f>
        <v>999</v>
      </c>
      <c r="R66" s="41">
        <f>IF(AND(N60&lt;=8,ISNUMBER(SEARCH(D60,"CDFGH")),COUNTIF($F$65,$E$60)=0),N60,999)</f>
        <v>999</v>
      </c>
      <c r="S66" s="28"/>
      <c r="T66" s="28"/>
      <c r="U66" s="28"/>
      <c r="V66" s="28"/>
      <c r="W66" s="28"/>
      <c r="X66" s="28"/>
      <c r="Y66" s="28"/>
      <c r="Z66" s="28"/>
      <c r="AA66" s="28"/>
      <c r="AB66" s="28"/>
      <c r="AC66" s="32"/>
      <c r="AD66" s="28"/>
      <c r="AE66" s="28"/>
      <c r="AF66" s="28"/>
      <c r="AG66" s="28"/>
      <c r="AH66" s="28"/>
      <c r="AI66" s="28"/>
      <c r="AJ66" s="28"/>
      <c r="AK66" s="28"/>
      <c r="AL66" s="28"/>
      <c r="AM66" s="28"/>
      <c r="AN66" s="28"/>
      <c r="AO66" s="28"/>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row>
    <row r="67" spans="1:93" ht="15" hidden="1" customHeight="1">
      <c r="A67" s="28"/>
      <c r="B67" s="196"/>
      <c r="C67" s="28"/>
      <c r="D67" s="41" t="s">
        <v>120</v>
      </c>
      <c r="E67" s="41" t="s">
        <v>121</v>
      </c>
      <c r="F67" s="42" t="str">
        <f>IFERROR(INDEX($E$49:$E$60,MATCH(SMALL($S$49:$S$60,3),$S$49:$S$60,0)),"TBC")</f>
        <v/>
      </c>
      <c r="G67" s="41">
        <f>IF(AND(N49&lt;=8,ISNUMBER(SEARCH(D49,"CEFHI")),COUNTIF($F$65:$F$66,$E$49)=0),N49,999)</f>
        <v>999</v>
      </c>
      <c r="H67" s="41">
        <f>IF(AND(N50&lt;=8,ISNUMBER(SEARCH(D50,"CEFHI")),COUNTIF($F$65:$F$66,$E$50)=0),N50,999)</f>
        <v>999</v>
      </c>
      <c r="I67" s="41">
        <f>IF(AND(N51&lt;=8,ISNUMBER(SEARCH(D51,"CEFHI")),COUNTIF($F$65:$F$66,$E$51)=0),N51,999)</f>
        <v>999</v>
      </c>
      <c r="J67" s="41">
        <f>IF(AND(N52&lt;=8,ISNUMBER(SEARCH(D52,"CEFHI")),COUNTIF($F$65:$F$66,$E$52)=0),N52,999)</f>
        <v>999</v>
      </c>
      <c r="K67" s="41">
        <f>IF(AND(N53&lt;=8,ISNUMBER(SEARCH(D53,"CEFHI")),COUNTIF($F$65:$F$66,$E$53)=0),N53,999)</f>
        <v>999</v>
      </c>
      <c r="L67" s="41">
        <f>IF(AND(N54&lt;=8,ISNUMBER(SEARCH(D54,"CEFHI")),COUNTIF($F$65:$F$66,$E$54)=0),N54,999)</f>
        <v>999</v>
      </c>
      <c r="M67" s="41">
        <f>IF(AND(N55&lt;=8,ISNUMBER(SEARCH(D55,"CEFHI")),COUNTIF($F$65:$F$66,$E$55)=0),N55,999)</f>
        <v>999</v>
      </c>
      <c r="N67" s="41">
        <f>IF(AND(N56&lt;=8,ISNUMBER(SEARCH(D56,"CEFHI")),COUNTIF($F$65:$F$66,$E$56)=0),N56,999)</f>
        <v>999</v>
      </c>
      <c r="O67" s="41">
        <f>IF(AND(N57&lt;=8,ISNUMBER(SEARCH(D57,"CEFHI")),COUNTIF($F$65:$F$66,$E$57)=0),N57,999)</f>
        <v>999</v>
      </c>
      <c r="P67" s="43">
        <f>IF(AND(N58&lt;=8,ISNUMBER(SEARCH(D58,"CEFHI")),COUNTIF($F$65:$F$66,$E$58)=0),N58,999)</f>
        <v>999</v>
      </c>
      <c r="Q67" s="41">
        <f>IF(AND(N59&lt;=8,ISNUMBER(SEARCH(D59,"CEFHI")),COUNTIF($F$65:$F$66,$E$59)=0),N59,999)</f>
        <v>999</v>
      </c>
      <c r="R67" s="41">
        <f>IF(AND(N60&lt;=8,ISNUMBER(SEARCH(D60,"CEFHI")),COUNTIF($F$65:$F$66,$E$60)=0),N60,999)</f>
        <v>999</v>
      </c>
      <c r="S67" s="28"/>
      <c r="T67" s="28"/>
      <c r="U67" s="28"/>
      <c r="V67" s="28"/>
      <c r="W67" s="28"/>
      <c r="X67" s="28"/>
      <c r="Y67" s="28"/>
      <c r="Z67" s="28"/>
      <c r="AA67" s="28"/>
      <c r="AB67" s="28"/>
      <c r="AC67" s="32"/>
      <c r="AD67" s="28"/>
      <c r="AE67" s="28"/>
      <c r="AF67" s="28"/>
      <c r="AG67" s="28"/>
      <c r="AH67" s="28"/>
      <c r="AI67" s="28"/>
      <c r="AJ67" s="28"/>
      <c r="AK67" s="28"/>
      <c r="AL67" s="28"/>
      <c r="AM67" s="28"/>
      <c r="AN67" s="28"/>
      <c r="AO67" s="28"/>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row>
    <row r="68" spans="1:93" ht="15" hidden="1" customHeight="1">
      <c r="A68" s="28"/>
      <c r="B68" s="196"/>
      <c r="C68" s="28"/>
      <c r="D68" s="41" t="s">
        <v>122</v>
      </c>
      <c r="E68" s="41" t="s">
        <v>123</v>
      </c>
      <c r="F68" s="42" t="str">
        <f>IFERROR(INDEX($E$49:$E$60,MATCH(SMALL($S$49:$S$60,4),$S$49:$S$60,0)),"TBC")</f>
        <v/>
      </c>
      <c r="G68" s="41">
        <f>IF(AND(N49&lt;=8,ISNUMBER(SEARCH(D49,"EHIJK")),COUNTIF($F$65:$F$67,$E$49)=0),N49,999)</f>
        <v>999</v>
      </c>
      <c r="H68" s="41">
        <f>IF(AND(N50&lt;=8,ISNUMBER(SEARCH(D50,"EHIJK")),COUNTIF($F$65:$F$67,$E$50)=0),N50,999)</f>
        <v>999</v>
      </c>
      <c r="I68" s="41">
        <f>IF(AND(N51&lt;=8,ISNUMBER(SEARCH(D51,"EHIJK")),COUNTIF($F$65:$F$67,$E$51)=0),N51,999)</f>
        <v>999</v>
      </c>
      <c r="J68" s="41">
        <f>IF(AND(N52&lt;=8,ISNUMBER(SEARCH(D52,"EHIJK")),COUNTIF($F$65:$F$67,$E$52)=0),N52,999)</f>
        <v>999</v>
      </c>
      <c r="K68" s="41">
        <f>IF(AND(N53&lt;=8,ISNUMBER(SEARCH(D53,"EHIJK")),COUNTIF($F$65:$F$67,$E$53)=0),N53,999)</f>
        <v>999</v>
      </c>
      <c r="L68" s="41">
        <f>IF(AND(N54&lt;=8,ISNUMBER(SEARCH(D54,"EHIJK")),COUNTIF($F$65:$F$67,$E$54)=0),N54,999)</f>
        <v>999</v>
      </c>
      <c r="M68" s="41">
        <f>IF(AND(N55&lt;=8,ISNUMBER(SEARCH(D55,"EHIJK")),COUNTIF($F$65:$F$67,$E$55)=0),N55,999)</f>
        <v>999</v>
      </c>
      <c r="N68" s="41">
        <f>IF(AND(N56&lt;=8,ISNUMBER(SEARCH(D56,"EHIJK")),COUNTIF($F$65:$F$67,$E$56)=0),N56,999)</f>
        <v>999</v>
      </c>
      <c r="O68" s="41">
        <f>IF(AND(N57&lt;=8,ISNUMBER(SEARCH(D57,"EHIJK")),COUNTIF($F$65:$F$67,$E$57)=0),N57,999)</f>
        <v>999</v>
      </c>
      <c r="P68" s="43">
        <f>IF(AND(N58&lt;=8,ISNUMBER(SEARCH(D58,"EHIJK")),COUNTIF($F$65:$F$67,$E$58)=0),N58,999)</f>
        <v>999</v>
      </c>
      <c r="Q68" s="41">
        <f>IF(AND(N59&lt;=8,ISNUMBER(SEARCH(D59,"EHIJK")),COUNTIF($F$65:$F$67,$E$59)=0),N59,999)</f>
        <v>999</v>
      </c>
      <c r="R68" s="41">
        <f>IF(AND(N60&lt;=8,ISNUMBER(SEARCH(D60,"EHIJK")),COUNTIF($F$65:$F$67,$E$60)=0),N60,999)</f>
        <v>999</v>
      </c>
      <c r="S68" s="28"/>
      <c r="T68" s="28"/>
      <c r="U68" s="28"/>
      <c r="V68" s="28"/>
      <c r="W68" s="28"/>
      <c r="X68" s="28"/>
      <c r="Y68" s="28"/>
      <c r="Z68" s="28"/>
      <c r="AA68" s="28"/>
      <c r="AB68" s="28"/>
      <c r="AC68" s="32"/>
      <c r="AD68" s="28"/>
      <c r="AE68" s="28"/>
      <c r="AF68" s="28"/>
      <c r="AG68" s="28"/>
      <c r="AH68" s="28"/>
      <c r="AI68" s="28"/>
      <c r="AJ68" s="28"/>
      <c r="AK68" s="28"/>
      <c r="AL68" s="28"/>
      <c r="AM68" s="28"/>
      <c r="AN68" s="28"/>
      <c r="AO68" s="28"/>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row>
    <row r="69" spans="1:93" ht="15" hidden="1" customHeight="1">
      <c r="A69" s="28"/>
      <c r="B69" s="196"/>
      <c r="C69" s="28"/>
      <c r="D69" s="41" t="s">
        <v>124</v>
      </c>
      <c r="E69" s="41" t="s">
        <v>125</v>
      </c>
      <c r="F69" s="42" t="str">
        <f>IFERROR(INDEX($E$49:$E$60,MATCH(SMALL($S$49:$S$60,5),$S$49:$S$60,0)),"TBC")</f>
        <v/>
      </c>
      <c r="G69" s="41">
        <f>IF(AND(N49&lt;=8,ISNUMBER(SEARCH(D49,"BEFIJ")),COUNTIF($F$65:$F$68,$E$49)=0),N49,999)</f>
        <v>999</v>
      </c>
      <c r="H69" s="41">
        <f>IF(AND(N50&lt;=8,ISNUMBER(SEARCH(D50,"BEFIJ")),COUNTIF($F$65:$F$68,$E$50)=0),N50,999)</f>
        <v>999</v>
      </c>
      <c r="I69" s="41">
        <f>IF(AND(N51&lt;=8,ISNUMBER(SEARCH(D51,"BEFIJ")),COUNTIF($F$65:$F$68,$E$51)=0),N51,999)</f>
        <v>999</v>
      </c>
      <c r="J69" s="41">
        <f>IF(AND(N52&lt;=8,ISNUMBER(SEARCH(D52,"BEFIJ")),COUNTIF($F$65:$F$68,$E$52)=0),N52,999)</f>
        <v>999</v>
      </c>
      <c r="K69" s="41">
        <f>IF(AND(N53&lt;=8,ISNUMBER(SEARCH(D53,"BEFIJ")),COUNTIF($F$65:$F$68,$E$53)=0),N53,999)</f>
        <v>999</v>
      </c>
      <c r="L69" s="41">
        <f>IF(AND(N54&lt;=8,ISNUMBER(SEARCH(D54,"BEFIJ")),COUNTIF($F$65:$F$68,$E$54)=0),N54,999)</f>
        <v>999</v>
      </c>
      <c r="M69" s="41">
        <f>IF(AND(N55&lt;=8,ISNUMBER(SEARCH(D55,"BEFIJ")),COUNTIF($F$65:$F$68,$E$55)=0),N55,999)</f>
        <v>999</v>
      </c>
      <c r="N69" s="41">
        <f>IF(AND(N56&lt;=8,ISNUMBER(SEARCH(D56,"BEFIJ")),COUNTIF($F$65:$F$68,$E$56)=0),N56,999)</f>
        <v>999</v>
      </c>
      <c r="O69" s="41">
        <f>IF(AND(N57&lt;=8,ISNUMBER(SEARCH(D57,"BEFIJ")),COUNTIF($F$65:$F$68,$E$57)=0),N57,999)</f>
        <v>999</v>
      </c>
      <c r="P69" s="43">
        <f>IF(AND(N58&lt;=8,ISNUMBER(SEARCH(D58,"BEFIJ")),COUNTIF($F$65:$F$68,$E$58)=0),N58,999)</f>
        <v>999</v>
      </c>
      <c r="Q69" s="41">
        <f>IF(AND(N59&lt;=8,ISNUMBER(SEARCH(D59,"BEFIJ")),COUNTIF($F$65:$F$68,$E$59)=0),N59,999)</f>
        <v>999</v>
      </c>
      <c r="R69" s="41">
        <f>IF(AND(N60&lt;=8,ISNUMBER(SEARCH(D60,"BEFIJ")),COUNTIF($F$65:$F$68,$E$60)=0),N60,999)</f>
        <v>999</v>
      </c>
      <c r="S69" s="28"/>
      <c r="T69" s="28"/>
      <c r="U69" s="28"/>
      <c r="V69" s="28"/>
      <c r="W69" s="28"/>
      <c r="X69" s="28"/>
      <c r="Y69" s="28"/>
      <c r="Z69" s="28"/>
      <c r="AA69" s="28"/>
      <c r="AB69" s="28"/>
      <c r="AC69" s="32"/>
      <c r="AD69" s="28"/>
      <c r="AE69" s="28"/>
      <c r="AF69" s="28"/>
      <c r="AG69" s="28"/>
      <c r="AH69" s="28"/>
      <c r="AI69" s="28"/>
      <c r="AJ69" s="28"/>
      <c r="AK69" s="28"/>
      <c r="AL69" s="28"/>
      <c r="AM69" s="28"/>
      <c r="AN69" s="28"/>
      <c r="AO69" s="28"/>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row>
    <row r="70" spans="1:93" ht="15" hidden="1" customHeight="1">
      <c r="A70" s="28"/>
      <c r="B70" s="196"/>
      <c r="C70" s="28"/>
      <c r="D70" s="41" t="s">
        <v>126</v>
      </c>
      <c r="E70" s="41" t="s">
        <v>127</v>
      </c>
      <c r="F70" s="42" t="str">
        <f>IFERROR(INDEX($E$49:$E$60,MATCH(SMALL($S$49:$S$60,6),$S$49:$S$60,0)),"TBC")</f>
        <v/>
      </c>
      <c r="G70" s="41">
        <f>IF(AND(N49&lt;=8,ISNUMBER(SEARCH(D49,"AEHIJ")),COUNTIF($F$65:$F$69,$E$49)=0),N49,999)</f>
        <v>999</v>
      </c>
      <c r="H70" s="41">
        <f>IF(AND(N50&lt;=8,ISNUMBER(SEARCH(D50,"AEHIJ")),COUNTIF($F$65:$F$69,$E$50)=0),N50,999)</f>
        <v>999</v>
      </c>
      <c r="I70" s="41">
        <f>IF(AND(N51&lt;=8,ISNUMBER(SEARCH(D51,"AEHIJ")),COUNTIF($F$65:$F$69,$E$51)=0),N51,999)</f>
        <v>999</v>
      </c>
      <c r="J70" s="41">
        <f>IF(AND(N52&lt;=8,ISNUMBER(SEARCH(D52,"AEHIJ")),COUNTIF($F$65:$F$69,$E$52)=0),N52,999)</f>
        <v>999</v>
      </c>
      <c r="K70" s="41">
        <f>IF(AND(N53&lt;=8,ISNUMBER(SEARCH(D53,"AEHIJ")),COUNTIF($F$65:$F$69,$E$53)=0),N53,999)</f>
        <v>999</v>
      </c>
      <c r="L70" s="41">
        <f>IF(AND(N54&lt;=8,ISNUMBER(SEARCH(D54,"AEHIJ")),COUNTIF($F$65:$F$69,$E$54)=0),N54,999)</f>
        <v>999</v>
      </c>
      <c r="M70" s="41">
        <f>IF(AND(N55&lt;=8,ISNUMBER(SEARCH(D55,"AEHIJ")),COUNTIF($F$65:$F$69,$E$55)=0),N55,999)</f>
        <v>999</v>
      </c>
      <c r="N70" s="41">
        <f>IF(AND(N56&lt;=8,ISNUMBER(SEARCH(D56,"AEHIJ")),COUNTIF($F$65:$F$69,$E$56)=0),N56,999)</f>
        <v>999</v>
      </c>
      <c r="O70" s="41">
        <f>IF(AND(N57&lt;=8,ISNUMBER(SEARCH(D57,"AEHIJ")),COUNTIF($F$65:$F$69,$E$57)=0),N57,999)</f>
        <v>999</v>
      </c>
      <c r="P70" s="43">
        <f>IF(AND(N58&lt;=8,ISNUMBER(SEARCH(D58,"AEHIJ")),COUNTIF($F$65:$F$69,$E$58)=0),N58,999)</f>
        <v>999</v>
      </c>
      <c r="Q70" s="41">
        <f>IF(AND(N59&lt;=8,ISNUMBER(SEARCH(D59,"AEHIJ")),COUNTIF($F$65:$F$69,$E$59)=0),N59,999)</f>
        <v>999</v>
      </c>
      <c r="R70" s="41">
        <f>IF(AND(N60&lt;=8,ISNUMBER(SEARCH(D60,"AEHIJ")),COUNTIF($F$65:$F$69,$E$60)=0),N60,999)</f>
        <v>999</v>
      </c>
      <c r="S70" s="28"/>
      <c r="T70" s="28"/>
      <c r="U70" s="28"/>
      <c r="V70" s="28"/>
      <c r="W70" s="28"/>
      <c r="X70" s="28"/>
      <c r="Y70" s="28"/>
      <c r="Z70" s="28"/>
      <c r="AA70" s="28"/>
      <c r="AB70" s="28"/>
      <c r="AC70" s="32"/>
      <c r="AD70" s="28"/>
      <c r="AE70" s="28"/>
      <c r="AF70" s="28"/>
      <c r="AG70" s="28"/>
      <c r="AH70" s="28"/>
      <c r="AI70" s="28"/>
      <c r="AJ70" s="28"/>
      <c r="AK70" s="28"/>
      <c r="AL70" s="28"/>
      <c r="AM70" s="28"/>
      <c r="AN70" s="28"/>
      <c r="AO70" s="28"/>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row>
    <row r="71" spans="1:93" ht="15" hidden="1" customHeight="1">
      <c r="A71" s="28"/>
      <c r="B71" s="196"/>
      <c r="C71" s="28"/>
      <c r="D71" s="41" t="s">
        <v>128</v>
      </c>
      <c r="E71" s="41" t="s">
        <v>129</v>
      </c>
      <c r="F71" s="42" t="str">
        <f>IFERROR(INDEX($E$49:$E$60,MATCH(SMALL($S$49:$S$60,7),$S$49:$S$60,0)),"TBC")</f>
        <v/>
      </c>
      <c r="G71" s="41">
        <f>IF(AND(N49&lt;=8,ISNUMBER(SEARCH(D49,"EFGIJ")),COUNTIF($F$65:$F$70,$E$49)=0),N49,999)</f>
        <v>999</v>
      </c>
      <c r="H71" s="41">
        <f>IF(AND(N50&lt;=8,ISNUMBER(SEARCH(D50,"EFGIJ")),COUNTIF($F$65:$F$70,$E$50)=0),N50,999)</f>
        <v>999</v>
      </c>
      <c r="I71" s="41">
        <f>IF(AND(N51&lt;=8,ISNUMBER(SEARCH(D51,"EFGIJ")),COUNTIF($F$65:$F$70,$E$51)=0),N51,999)</f>
        <v>999</v>
      </c>
      <c r="J71" s="41">
        <f>IF(AND(N52&lt;=8,ISNUMBER(SEARCH(D52,"EFGIJ")),COUNTIF($F$65:$F$70,$E$52)=0),N52,999)</f>
        <v>999</v>
      </c>
      <c r="K71" s="41">
        <f>IF(AND(N53&lt;=8,ISNUMBER(SEARCH(D53,"EFGIJ")),COUNTIF($F$65:$F$70,$E$53)=0),N53,999)</f>
        <v>999</v>
      </c>
      <c r="L71" s="41">
        <f>IF(AND(N54&lt;=8,ISNUMBER(SEARCH(D54,"EFGIJ")),COUNTIF($F$65:$F$70,$E$54)=0),N54,999)</f>
        <v>999</v>
      </c>
      <c r="M71" s="41">
        <f>IF(AND(N55&lt;=8,ISNUMBER(SEARCH(D55,"EFGIJ")),COUNTIF($F$65:$F$70,$E$55)=0),N55,999)</f>
        <v>999</v>
      </c>
      <c r="N71" s="41">
        <f>IF(AND(N56&lt;=8,ISNUMBER(SEARCH(D56,"EFGIJ")),COUNTIF($F$65:$F$70,$E$56)=0),N56,999)</f>
        <v>999</v>
      </c>
      <c r="O71" s="41">
        <f>IF(AND(N57&lt;=8,ISNUMBER(SEARCH(D57,"EFGIJ")),COUNTIF($F$65:$F$70,$E$57)=0),N57,999)</f>
        <v>999</v>
      </c>
      <c r="P71" s="43">
        <f>IF(AND(N58&lt;=8,ISNUMBER(SEARCH(D58,"EFGIJ")),COUNTIF($F$65:$F$70,$E$58)=0),N58,999)</f>
        <v>999</v>
      </c>
      <c r="Q71" s="41">
        <f>IF(AND(N59&lt;=8,ISNUMBER(SEARCH(D59,"EFGIJ")),COUNTIF($F$65:$F$70,$E$59)=0),N59,999)</f>
        <v>999</v>
      </c>
      <c r="R71" s="41">
        <f>IF(AND(N60&lt;=8,ISNUMBER(SEARCH(D60,"EFGIJ")),COUNTIF($F$65:$F$70,$E$60)=0),N60,999)</f>
        <v>999</v>
      </c>
      <c r="S71" s="28"/>
      <c r="T71" s="28"/>
      <c r="U71" s="28"/>
      <c r="V71" s="28"/>
      <c r="W71" s="28"/>
      <c r="X71" s="28"/>
      <c r="Y71" s="28"/>
      <c r="Z71" s="28"/>
      <c r="AA71" s="28"/>
      <c r="AB71" s="28"/>
      <c r="AC71" s="32"/>
      <c r="AD71" s="28"/>
      <c r="AE71" s="28"/>
      <c r="AF71" s="28"/>
      <c r="AG71" s="28"/>
      <c r="AH71" s="28"/>
      <c r="AI71" s="28"/>
      <c r="AJ71" s="28"/>
      <c r="AK71" s="28"/>
      <c r="AL71" s="28"/>
      <c r="AM71" s="28"/>
      <c r="AN71" s="28"/>
      <c r="AO71" s="28"/>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row>
    <row r="72" spans="1:93" ht="15" hidden="1" customHeight="1">
      <c r="A72" s="28"/>
      <c r="B72" s="196"/>
      <c r="C72" s="28"/>
      <c r="D72" s="41" t="s">
        <v>130</v>
      </c>
      <c r="E72" s="41" t="s">
        <v>131</v>
      </c>
      <c r="F72" s="42" t="str">
        <f>IFERROR(INDEX($E$49:$E$60,MATCH(SMALL($S$49:$S$60,8),$S$49:$S$60,0)),"TBC")</f>
        <v/>
      </c>
      <c r="G72" s="41">
        <f>IF(AND(N49&lt;=8,ISNUMBER(SEARCH(D49,"DEIJL")),COUNTIF($F$65:$F$71,$E$49)=0),N49,999)</f>
        <v>999</v>
      </c>
      <c r="H72" s="41">
        <f>IF(AND(N50&lt;=8,ISNUMBER(SEARCH(D50,"DEIJL")),COUNTIF($F$65:$F$71,$E$50)=0),N50,999)</f>
        <v>999</v>
      </c>
      <c r="I72" s="41">
        <f>IF(AND(N51&lt;=8,ISNUMBER(SEARCH(D51,"DEIJL")),COUNTIF($F$65:$F$71,$E$51)=0),N51,999)</f>
        <v>999</v>
      </c>
      <c r="J72" s="41">
        <f>IF(AND(N52&lt;=8,ISNUMBER(SEARCH(D52,"DEIJL")),COUNTIF($F$65:$F$71,$E$52)=0),N52,999)</f>
        <v>999</v>
      </c>
      <c r="K72" s="41">
        <f>IF(AND(N53&lt;=8,ISNUMBER(SEARCH(D53,"DEIJL")),COUNTIF($F$65:$F$71,$E$53)=0),N53,999)</f>
        <v>999</v>
      </c>
      <c r="L72" s="41">
        <f>IF(AND(N54&lt;=8,ISNUMBER(SEARCH(D54,"DEIJL")),COUNTIF($F$65:$F$71,$E$54)=0),N54,999)</f>
        <v>999</v>
      </c>
      <c r="M72" s="41">
        <f>IF(AND(N55&lt;=8,ISNUMBER(SEARCH(D55,"DEIJL")),COUNTIF($F$65:$F$71,$E$55)=0),N55,999)</f>
        <v>999</v>
      </c>
      <c r="N72" s="41">
        <f>IF(AND(N56&lt;=8,ISNUMBER(SEARCH(D56,"DEIJL")),COUNTIF($F$65:$F$71,$E$56)=0),N56,999)</f>
        <v>999</v>
      </c>
      <c r="O72" s="41">
        <f>IF(AND(N57&lt;=8,ISNUMBER(SEARCH(D57,"DEIJL")),COUNTIF($F$65:$F$71,$E$57)=0),N57,999)</f>
        <v>999</v>
      </c>
      <c r="P72" s="43">
        <f>IF(AND(N58&lt;=8,ISNUMBER(SEARCH(D58,"DEIJL")),COUNTIF($F$65:$F$71,$E$58)=0),N58,999)</f>
        <v>999</v>
      </c>
      <c r="Q72" s="41">
        <f>IF(AND(N59&lt;=8,ISNUMBER(SEARCH(D59,"DEIJL")),COUNTIF($F$65:$F$71,$E$59)=0),N59,999)</f>
        <v>999</v>
      </c>
      <c r="R72" s="41">
        <f>IF(AND(N60&lt;=8,ISNUMBER(SEARCH(D60,"DEIJL")),COUNTIF($F$65:$F$71,$E$60)=0),N60,999)</f>
        <v>999</v>
      </c>
      <c r="S72" s="28"/>
      <c r="T72" s="28"/>
      <c r="U72" s="28"/>
      <c r="V72" s="28"/>
      <c r="W72" s="28"/>
      <c r="X72" s="28"/>
      <c r="Y72" s="28"/>
      <c r="Z72" s="28"/>
      <c r="AA72" s="28"/>
      <c r="AB72" s="28"/>
      <c r="AC72" s="32"/>
      <c r="AD72" s="28"/>
      <c r="AE72" s="28"/>
      <c r="AF72" s="28"/>
      <c r="AG72" s="28"/>
      <c r="AH72" s="28"/>
      <c r="AI72" s="28"/>
      <c r="AJ72" s="28"/>
      <c r="AK72" s="28"/>
      <c r="AL72" s="28"/>
      <c r="AM72" s="28"/>
      <c r="AN72" s="28"/>
      <c r="AO72" s="28"/>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row>
    <row r="73" spans="1:93" ht="15" customHeight="1">
      <c r="A73" s="28"/>
      <c r="B73" s="196"/>
      <c r="C73" s="28"/>
      <c r="D73" s="28"/>
      <c r="E73" s="28"/>
      <c r="F73" s="28"/>
      <c r="G73" s="28"/>
      <c r="H73" s="28"/>
      <c r="I73" s="28"/>
      <c r="J73" s="28"/>
      <c r="K73" s="28"/>
      <c r="L73" s="28"/>
      <c r="M73" s="28"/>
      <c r="N73" s="28"/>
      <c r="O73" s="28"/>
      <c r="P73" s="32"/>
      <c r="Q73" s="28"/>
      <c r="R73" s="28"/>
      <c r="S73" s="28"/>
      <c r="T73" s="28"/>
      <c r="U73" s="28"/>
      <c r="V73" s="28"/>
      <c r="W73" s="28"/>
      <c r="X73" s="28"/>
      <c r="Y73" s="28"/>
      <c r="Z73" s="28"/>
      <c r="AA73" s="28"/>
      <c r="AB73" s="28"/>
      <c r="AC73" s="32"/>
      <c r="AD73" s="28"/>
      <c r="AE73" s="28"/>
      <c r="AF73" s="28"/>
      <c r="AG73" s="28"/>
      <c r="AH73" s="28"/>
      <c r="AI73" s="28"/>
      <c r="AJ73" s="28"/>
      <c r="AK73" s="28"/>
      <c r="AL73" s="28"/>
      <c r="AM73" s="28"/>
      <c r="AN73" s="28"/>
      <c r="AO73" s="28"/>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row>
    <row r="74" spans="1:93" ht="15" customHeight="1">
      <c r="A74" s="28"/>
      <c r="B74" s="196"/>
      <c r="C74" s="28"/>
      <c r="D74" s="28"/>
      <c r="E74" s="28"/>
      <c r="F74" s="28"/>
      <c r="G74" s="28"/>
      <c r="H74" s="28"/>
      <c r="I74" s="28"/>
      <c r="J74" s="28"/>
      <c r="K74" s="28"/>
      <c r="L74" s="28"/>
      <c r="M74" s="28"/>
      <c r="N74" s="28"/>
      <c r="O74" s="28"/>
      <c r="P74" s="32"/>
      <c r="Q74" s="28"/>
      <c r="R74" s="28"/>
      <c r="S74" s="28"/>
      <c r="T74" s="28"/>
      <c r="U74" s="28"/>
      <c r="V74" s="28"/>
      <c r="W74" s="28"/>
      <c r="X74" s="28"/>
      <c r="Y74" s="28"/>
      <c r="Z74" s="28"/>
      <c r="AA74" s="28"/>
      <c r="AB74" s="28"/>
      <c r="AC74" s="32"/>
      <c r="AD74" s="28"/>
      <c r="AE74" s="28"/>
      <c r="AF74" s="28"/>
      <c r="AG74" s="28"/>
      <c r="AH74" s="28"/>
      <c r="AI74" s="28"/>
      <c r="AJ74" s="28"/>
      <c r="AK74" s="28"/>
      <c r="AL74" s="28"/>
      <c r="AM74" s="28"/>
      <c r="AN74" s="28"/>
      <c r="AO74" s="28"/>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row>
    <row r="75" spans="1:93" ht="15" customHeight="1">
      <c r="A75" s="28"/>
      <c r="B75" s="196"/>
      <c r="C75" s="28"/>
      <c r="D75" s="28"/>
      <c r="E75" s="28"/>
      <c r="F75" s="28"/>
      <c r="G75" s="28"/>
      <c r="H75" s="28"/>
      <c r="I75" s="28"/>
      <c r="J75" s="28"/>
      <c r="K75" s="28"/>
      <c r="L75" s="28"/>
      <c r="M75" s="28"/>
      <c r="N75" s="28"/>
      <c r="O75" s="28"/>
      <c r="P75" s="32"/>
      <c r="Q75" s="28"/>
      <c r="R75" s="28"/>
      <c r="S75" s="28"/>
      <c r="T75" s="28"/>
      <c r="U75" s="28"/>
      <c r="V75" s="28"/>
      <c r="W75" s="28"/>
      <c r="X75" s="28"/>
      <c r="Y75" s="28"/>
      <c r="Z75" s="28"/>
      <c r="AA75" s="28"/>
      <c r="AB75" s="28"/>
      <c r="AC75" s="32"/>
      <c r="AD75" s="28"/>
      <c r="AE75" s="28"/>
      <c r="AF75" s="28"/>
      <c r="AG75" s="28"/>
      <c r="AH75" s="28"/>
      <c r="AI75" s="28"/>
      <c r="AJ75" s="28"/>
      <c r="AK75" s="28"/>
      <c r="AL75" s="28"/>
      <c r="AM75" s="28"/>
      <c r="AN75" s="28"/>
      <c r="AO75" s="28"/>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row>
    <row r="76" spans="1:93" ht="15" customHeight="1">
      <c r="A76" s="28"/>
      <c r="B76" s="196"/>
      <c r="C76" s="28"/>
      <c r="D76" s="28"/>
      <c r="E76" s="28"/>
      <c r="F76" s="28"/>
      <c r="G76" s="28"/>
      <c r="H76" s="28"/>
      <c r="I76" s="28"/>
      <c r="J76" s="28"/>
      <c r="K76" s="28"/>
      <c r="L76" s="28"/>
      <c r="M76" s="28"/>
      <c r="N76" s="28"/>
      <c r="O76" s="28"/>
      <c r="P76" s="32"/>
      <c r="Q76" s="28"/>
      <c r="R76" s="28"/>
      <c r="S76" s="28"/>
      <c r="T76" s="28"/>
      <c r="U76" s="28"/>
      <c r="V76" s="28"/>
      <c r="W76" s="28"/>
      <c r="X76" s="28"/>
      <c r="Y76" s="28"/>
      <c r="Z76" s="28"/>
      <c r="AA76" s="28"/>
      <c r="AB76" s="28"/>
      <c r="AC76" s="32"/>
      <c r="AD76" s="28"/>
      <c r="AE76" s="28"/>
      <c r="AF76" s="28"/>
      <c r="AG76" s="28"/>
      <c r="AH76" s="28"/>
      <c r="AI76" s="28"/>
      <c r="AJ76" s="28"/>
      <c r="AK76" s="28"/>
      <c r="AL76" s="28"/>
      <c r="AM76" s="28"/>
      <c r="AN76" s="28"/>
      <c r="AO76" s="28"/>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row>
    <row r="77" spans="1:93" ht="15.75" customHeight="1">
      <c r="A77" s="28"/>
      <c r="B77" s="196"/>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row>
    <row r="78" spans="1:93" ht="15.75" customHeight="1">
      <c r="A78" s="28"/>
      <c r="B78" s="196"/>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row>
    <row r="79" spans="1:93" ht="15.75" customHeight="1">
      <c r="A79" s="28"/>
      <c r="B79" s="196"/>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row>
    <row r="80" spans="1:93" ht="15.75" customHeight="1">
      <c r="A80" s="28"/>
      <c r="B80" s="196"/>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row>
    <row r="81" spans="1:93" ht="15.75" customHeight="1">
      <c r="A81" s="28"/>
      <c r="B81" s="196"/>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row>
    <row r="82" spans="1:93" ht="15.75" customHeight="1">
      <c r="A82" s="28"/>
      <c r="B82" s="196"/>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row>
    <row r="83" spans="1:93" ht="15.75" customHeight="1">
      <c r="A83" s="28"/>
      <c r="B83" s="196"/>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row>
    <row r="84" spans="1:93" ht="15.75" customHeight="1">
      <c r="A84" s="28"/>
      <c r="B84" s="196"/>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row>
    <row r="85" spans="1:93" ht="15.75" customHeight="1">
      <c r="A85" s="28"/>
      <c r="B85" s="196"/>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row>
    <row r="86" spans="1:93" ht="15.75" customHeight="1">
      <c r="A86" s="28"/>
      <c r="B86" s="196"/>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row>
    <row r="87" spans="1:93" ht="15.75" customHeight="1">
      <c r="A87" s="28"/>
      <c r="B87" s="196"/>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row>
    <row r="88" spans="1:93" ht="15.75" customHeight="1">
      <c r="A88" s="28"/>
      <c r="B88" s="196"/>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row>
    <row r="89" spans="1:93" ht="15.75" customHeight="1">
      <c r="A89" s="28"/>
      <c r="B89" s="196"/>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row>
    <row r="90" spans="1:93" ht="15.75" customHeight="1">
      <c r="A90" s="28"/>
      <c r="B90" s="196"/>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row>
    <row r="91" spans="1:93" ht="15.75" customHeight="1">
      <c r="A91" s="28"/>
      <c r="B91" s="196"/>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row>
    <row r="92" spans="1:93" ht="15.75" customHeight="1">
      <c r="A92" s="28"/>
      <c r="B92" s="196"/>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row>
    <row r="93" spans="1:93" ht="15.75" customHeight="1">
      <c r="A93" s="28"/>
      <c r="B93" s="196"/>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row>
    <row r="94" spans="1:93" ht="15.75" customHeight="1">
      <c r="A94" s="28"/>
      <c r="B94" s="196"/>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row>
    <row r="95" spans="1:93" ht="15.75" customHeight="1">
      <c r="A95" s="28"/>
      <c r="B95" s="196"/>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row>
    <row r="96" spans="1:93" ht="15.75" customHeight="1">
      <c r="A96" s="28"/>
      <c r="B96" s="196"/>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row>
    <row r="97" spans="1:93" ht="15.75" customHeight="1">
      <c r="A97" s="28"/>
      <c r="B97" s="196"/>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row>
    <row r="98" spans="1:93" ht="15.75" customHeight="1">
      <c r="A98" s="28"/>
      <c r="B98" s="196"/>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row>
    <row r="99" spans="1:93" ht="15.75" customHeight="1">
      <c r="A99" s="28"/>
      <c r="B99" s="196"/>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row>
    <row r="100" spans="1:93" ht="15.75" customHeight="1">
      <c r="A100" s="28"/>
      <c r="B100" s="196"/>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row>
    <row r="101" spans="1:93" ht="15.75" customHeight="1">
      <c r="A101" s="28"/>
      <c r="B101" s="196"/>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row>
    <row r="102" spans="1:93" ht="15.75" customHeight="1">
      <c r="A102" s="28"/>
      <c r="B102" s="196"/>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row>
    <row r="103" spans="1:93" ht="15.75" customHeight="1">
      <c r="A103" s="28"/>
      <c r="B103" s="196"/>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row>
    <row r="104" spans="1:93" ht="15.75" customHeight="1">
      <c r="A104" s="28"/>
      <c r="B104" s="196"/>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row>
    <row r="105" spans="1:93" ht="15.75" customHeight="1">
      <c r="A105" s="28"/>
      <c r="B105" s="196"/>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row>
    <row r="106" spans="1:93" ht="15.75" customHeight="1">
      <c r="A106" s="28"/>
      <c r="B106" s="196"/>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row>
    <row r="107" spans="1:93" ht="15.75" customHeight="1">
      <c r="A107" s="28"/>
      <c r="B107" s="196"/>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row>
    <row r="108" spans="1:93" ht="15.75" customHeight="1">
      <c r="A108" s="28"/>
      <c r="B108" s="196"/>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row>
    <row r="109" spans="1:93" ht="15.75" customHeight="1">
      <c r="A109" s="28"/>
      <c r="B109" s="196"/>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row>
    <row r="110" spans="1:93" ht="15.75" customHeight="1">
      <c r="A110" s="28"/>
      <c r="B110" s="196"/>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row>
    <row r="111" spans="1:93" ht="15.75" customHeight="1">
      <c r="A111" s="28"/>
      <c r="B111" s="196"/>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row>
    <row r="112" spans="1:93" ht="15.75" customHeight="1">
      <c r="A112" s="28"/>
      <c r="B112" s="196"/>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row>
    <row r="113" spans="1:93" ht="15.75" customHeight="1">
      <c r="A113" s="28"/>
      <c r="B113" s="196"/>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row>
    <row r="114" spans="1:93" ht="15.75" customHeight="1">
      <c r="A114" s="28"/>
      <c r="B114" s="196"/>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row>
    <row r="115" spans="1:93" ht="15.75" customHeight="1">
      <c r="A115" s="28"/>
      <c r="B115" s="196"/>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row>
    <row r="116" spans="1:93" ht="15.75" customHeight="1">
      <c r="A116" s="28"/>
      <c r="B116" s="196"/>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row>
    <row r="117" spans="1:93" ht="15.75" customHeight="1">
      <c r="A117" s="28"/>
      <c r="B117" s="196"/>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row>
    <row r="118" spans="1:93" ht="15.75" customHeight="1">
      <c r="A118" s="28"/>
      <c r="B118" s="196"/>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row>
    <row r="119" spans="1:93" ht="15.75" customHeight="1">
      <c r="A119" s="28"/>
      <c r="B119" s="196"/>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row>
    <row r="120" spans="1:93" ht="15.75" customHeight="1">
      <c r="A120" s="28"/>
      <c r="B120" s="196"/>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row>
    <row r="121" spans="1:93" ht="15.75" customHeight="1">
      <c r="A121" s="28"/>
      <c r="B121" s="196"/>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row>
    <row r="122" spans="1:93" ht="15.75" customHeight="1">
      <c r="A122" s="28"/>
      <c r="B122" s="196"/>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row>
    <row r="123" spans="1:93" ht="15.75" customHeight="1">
      <c r="A123" s="28"/>
      <c r="B123" s="196"/>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row>
    <row r="124" spans="1:93" ht="15.75" customHeight="1">
      <c r="A124" s="28"/>
      <c r="B124" s="196"/>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row>
    <row r="125" spans="1:93" ht="15.75" customHeight="1">
      <c r="A125" s="28"/>
      <c r="B125" s="196"/>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row>
    <row r="126" spans="1:93" ht="15.75" customHeight="1">
      <c r="A126" s="28"/>
      <c r="B126" s="196"/>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row>
    <row r="127" spans="1:93" ht="15.75" customHeight="1">
      <c r="A127" s="28"/>
      <c r="B127" s="196"/>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row>
    <row r="128" spans="1:93" ht="15.75" customHeight="1">
      <c r="A128" s="28"/>
      <c r="B128" s="196"/>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row>
    <row r="129" spans="1:93" ht="15.75" customHeight="1">
      <c r="A129" s="28"/>
      <c r="B129" s="196"/>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row>
    <row r="130" spans="1:93" ht="15.75" customHeight="1">
      <c r="A130" s="28"/>
      <c r="B130" s="196"/>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row>
    <row r="131" spans="1:93" ht="15.75" customHeight="1">
      <c r="A131" s="28"/>
      <c r="B131" s="196"/>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row>
    <row r="132" spans="1:93" ht="15.75" customHeight="1">
      <c r="A132" s="28"/>
      <c r="B132" s="196"/>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row>
    <row r="133" spans="1:93" ht="15.75" customHeight="1">
      <c r="A133" s="28"/>
      <c r="B133" s="196"/>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row>
    <row r="134" spans="1:93" ht="15.75" customHeight="1">
      <c r="A134" s="28"/>
      <c r="B134" s="196"/>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row>
    <row r="135" spans="1:93" ht="15.75" customHeight="1">
      <c r="A135" s="28"/>
      <c r="B135" s="196"/>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row>
    <row r="136" spans="1:93" ht="15.75" customHeight="1">
      <c r="A136" s="28"/>
      <c r="B136" s="196"/>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row>
    <row r="137" spans="1:93" ht="15.75" customHeight="1">
      <c r="A137" s="28"/>
      <c r="B137" s="196"/>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row>
    <row r="138" spans="1:93" ht="15.75" customHeight="1">
      <c r="A138" s="28"/>
      <c r="B138" s="196"/>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row>
    <row r="139" spans="1:93" ht="15.75" customHeight="1">
      <c r="A139" s="28"/>
      <c r="B139" s="196"/>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row>
    <row r="140" spans="1:93" ht="15.75" customHeight="1">
      <c r="A140" s="28"/>
      <c r="B140" s="196"/>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row>
    <row r="141" spans="1:93" ht="15.75" customHeight="1">
      <c r="A141" s="28"/>
      <c r="B141" s="196"/>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row>
    <row r="142" spans="1:93" ht="15.75" customHeight="1">
      <c r="A142" s="28"/>
      <c r="B142" s="196"/>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row>
    <row r="143" spans="1:93" ht="15.75" customHeight="1">
      <c r="A143" s="28"/>
      <c r="B143" s="196"/>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row>
    <row r="144" spans="1:93" ht="15.75" customHeight="1">
      <c r="A144" s="28"/>
      <c r="B144" s="196"/>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row>
    <row r="145" spans="1:93" ht="15.75" customHeight="1">
      <c r="A145" s="28"/>
      <c r="B145" s="196"/>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row>
    <row r="146" spans="1:93" ht="15.75" customHeight="1">
      <c r="A146" s="28"/>
      <c r="B146" s="196"/>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row>
    <row r="147" spans="1:93" ht="15.75" customHeight="1">
      <c r="A147" s="28"/>
      <c r="B147" s="196"/>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row>
    <row r="148" spans="1:93" ht="15.75" customHeight="1">
      <c r="A148" s="28"/>
      <c r="B148" s="196"/>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row>
    <row r="149" spans="1:93" ht="15.75" customHeight="1">
      <c r="A149" s="28"/>
      <c r="B149" s="196"/>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row>
    <row r="150" spans="1:93" ht="15.75" customHeight="1">
      <c r="A150" s="28"/>
      <c r="B150" s="196"/>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row>
    <row r="151" spans="1:93" ht="15.75" customHeight="1">
      <c r="A151" s="28"/>
      <c r="B151" s="196"/>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row>
    <row r="152" spans="1:93" ht="15.75" customHeight="1">
      <c r="A152" s="28"/>
      <c r="B152" s="196"/>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row>
    <row r="153" spans="1:93" ht="15.75" customHeight="1">
      <c r="A153" s="28"/>
      <c r="B153" s="196"/>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row>
    <row r="154" spans="1:93" ht="15.75" customHeight="1">
      <c r="A154" s="28"/>
      <c r="B154" s="196"/>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row>
    <row r="155" spans="1:93" ht="15.75" customHeight="1">
      <c r="A155" s="28"/>
      <c r="B155" s="196"/>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row>
    <row r="156" spans="1:93" ht="15.75" customHeight="1">
      <c r="A156" s="28"/>
      <c r="B156" s="196"/>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row>
    <row r="157" spans="1:93" ht="15.75" customHeight="1">
      <c r="A157" s="28"/>
      <c r="B157" s="196"/>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row>
    <row r="158" spans="1:93" ht="15.75" customHeight="1">
      <c r="A158" s="28"/>
      <c r="B158" s="196"/>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row>
    <row r="159" spans="1:93" ht="15.75" customHeight="1">
      <c r="A159" s="28"/>
      <c r="B159" s="196"/>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row>
    <row r="160" spans="1:93" ht="15.75" customHeight="1">
      <c r="A160" s="28"/>
      <c r="B160" s="196"/>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row>
    <row r="161" spans="1:93" ht="15.75" customHeight="1">
      <c r="A161" s="28"/>
      <c r="B161" s="196"/>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row>
    <row r="162" spans="1:93" ht="15.75" customHeight="1">
      <c r="A162" s="28"/>
      <c r="B162" s="196"/>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row>
    <row r="163" spans="1:93" ht="15.75" customHeight="1">
      <c r="A163" s="28"/>
      <c r="B163" s="196"/>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row>
    <row r="164" spans="1:93" ht="15.75" customHeight="1">
      <c r="A164" s="28"/>
      <c r="B164" s="196"/>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row>
    <row r="165" spans="1:93" ht="15.75" customHeight="1">
      <c r="A165" s="28"/>
      <c r="B165" s="196"/>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row>
    <row r="166" spans="1:93" ht="15.75" customHeight="1">
      <c r="A166" s="28"/>
      <c r="B166" s="196"/>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row>
    <row r="167" spans="1:93" ht="15.75" customHeight="1">
      <c r="A167" s="28"/>
      <c r="B167" s="196"/>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row>
    <row r="168" spans="1:93" ht="15.75" customHeight="1">
      <c r="A168" s="28"/>
      <c r="B168" s="196"/>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row>
    <row r="169" spans="1:93" ht="15.75" customHeight="1">
      <c r="A169" s="28"/>
      <c r="B169" s="196"/>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row>
    <row r="170" spans="1:93" ht="15.75" customHeight="1">
      <c r="A170" s="28"/>
      <c r="B170" s="196"/>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row>
    <row r="171" spans="1:93" ht="15.75" customHeight="1">
      <c r="A171" s="28"/>
      <c r="B171" s="196"/>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row>
    <row r="172" spans="1:93" ht="15.75" customHeight="1">
      <c r="A172" s="28"/>
      <c r="B172" s="196"/>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row>
    <row r="173" spans="1:93" ht="15.75" customHeight="1">
      <c r="A173" s="28"/>
      <c r="B173" s="196"/>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row>
    <row r="174" spans="1:93" ht="15.75" customHeight="1">
      <c r="A174" s="28"/>
      <c r="B174" s="196"/>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row>
    <row r="175" spans="1:93" ht="15.75" customHeight="1">
      <c r="A175" s="28"/>
      <c r="B175" s="196"/>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row>
    <row r="176" spans="1:93" ht="15.75" customHeight="1">
      <c r="A176" s="28"/>
      <c r="B176" s="196"/>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row>
    <row r="177" spans="1:93" ht="15.75" customHeight="1">
      <c r="A177" s="28"/>
      <c r="B177" s="196"/>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row>
    <row r="178" spans="1:93" ht="15.75" customHeight="1">
      <c r="A178" s="28"/>
      <c r="B178" s="196"/>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row>
    <row r="179" spans="1:93" ht="15.75" customHeight="1">
      <c r="A179" s="28"/>
      <c r="B179" s="196"/>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row>
    <row r="180" spans="1:93" ht="15.75" customHeight="1">
      <c r="A180" s="28"/>
      <c r="B180" s="196"/>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row>
    <row r="181" spans="1:93" ht="15.75" customHeight="1">
      <c r="A181" s="28"/>
      <c r="B181" s="196"/>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row>
    <row r="182" spans="1:93" ht="15.75" customHeight="1">
      <c r="A182" s="28"/>
      <c r="B182" s="196"/>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row>
    <row r="183" spans="1:93" ht="15.75" customHeight="1">
      <c r="A183" s="28"/>
      <c r="B183" s="196"/>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row>
    <row r="184" spans="1:93" ht="15.75" customHeight="1">
      <c r="A184" s="28"/>
      <c r="B184" s="196"/>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row>
    <row r="185" spans="1:93" ht="15.75" customHeight="1">
      <c r="A185" s="28"/>
      <c r="B185" s="196"/>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row>
    <row r="186" spans="1:93" ht="15.75" customHeight="1">
      <c r="A186" s="28"/>
      <c r="B186" s="196"/>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row>
    <row r="187" spans="1:93" ht="15.75" customHeight="1">
      <c r="A187" s="28"/>
      <c r="B187" s="196"/>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row>
    <row r="188" spans="1:93" ht="15.75" customHeight="1">
      <c r="A188" s="28"/>
      <c r="B188" s="196"/>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row>
    <row r="189" spans="1:93" ht="15.75" customHeight="1">
      <c r="A189" s="28"/>
      <c r="B189" s="196"/>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row>
    <row r="190" spans="1:93" ht="15.75" customHeight="1">
      <c r="A190" s="28"/>
      <c r="B190" s="196"/>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row>
    <row r="191" spans="1:93" ht="15.75" customHeight="1">
      <c r="A191" s="28"/>
      <c r="B191" s="196"/>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row>
    <row r="192" spans="1:93" ht="15.75" customHeight="1">
      <c r="A192" s="28"/>
      <c r="B192" s="196"/>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row>
    <row r="193" spans="1:93" ht="15.75" customHeight="1">
      <c r="A193" s="28"/>
      <c r="B193" s="196"/>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row>
    <row r="194" spans="1:93" ht="15.75" customHeight="1">
      <c r="A194" s="28"/>
      <c r="B194" s="196"/>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row>
    <row r="195" spans="1:93" ht="15.75" customHeight="1">
      <c r="A195" s="28"/>
      <c r="B195" s="196"/>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row>
    <row r="196" spans="1:93" ht="15.75" customHeight="1">
      <c r="A196" s="28"/>
      <c r="B196" s="196"/>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row>
    <row r="197" spans="1:93" ht="15.75" customHeight="1">
      <c r="A197" s="28"/>
      <c r="B197" s="196"/>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row>
    <row r="198" spans="1:93" ht="15.75" customHeight="1">
      <c r="A198" s="28"/>
      <c r="B198" s="196"/>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row>
    <row r="199" spans="1:93" ht="15.75" customHeight="1">
      <c r="A199" s="28"/>
      <c r="B199" s="196"/>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row>
    <row r="200" spans="1:93" ht="15.75" customHeight="1">
      <c r="A200" s="28"/>
      <c r="B200" s="196"/>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row>
    <row r="201" spans="1:93" ht="15.75" customHeight="1">
      <c r="A201" s="28"/>
      <c r="B201" s="196"/>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row>
    <row r="202" spans="1:93" ht="15.75" customHeight="1">
      <c r="A202" s="28"/>
      <c r="B202" s="196"/>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row>
    <row r="203" spans="1:93" ht="15.75" customHeight="1">
      <c r="A203" s="28"/>
      <c r="B203" s="196"/>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row>
    <row r="204" spans="1:93" ht="15.75" customHeight="1">
      <c r="A204" s="28"/>
      <c r="B204" s="196"/>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row>
    <row r="205" spans="1:93" ht="15.75" customHeight="1">
      <c r="A205" s="28"/>
      <c r="B205" s="196"/>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row>
    <row r="206" spans="1:93" ht="15.75" customHeight="1">
      <c r="A206" s="28"/>
      <c r="B206" s="196"/>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row>
    <row r="207" spans="1:93" ht="15.75" customHeight="1">
      <c r="A207" s="28"/>
      <c r="B207" s="196"/>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row>
    <row r="208" spans="1:93" ht="15.75" customHeight="1">
      <c r="A208" s="28"/>
      <c r="B208" s="196"/>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row>
    <row r="209" spans="1:93" ht="15.75" customHeight="1">
      <c r="A209" s="28"/>
      <c r="B209" s="196"/>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row>
    <row r="210" spans="1:93" ht="15.75" customHeight="1">
      <c r="A210" s="28"/>
      <c r="B210" s="196"/>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row>
    <row r="211" spans="1:93" ht="15.75" customHeight="1">
      <c r="A211" s="28"/>
      <c r="B211" s="196"/>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row>
    <row r="212" spans="1:93" ht="15.75" customHeight="1">
      <c r="A212" s="28"/>
      <c r="B212" s="196"/>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row>
    <row r="213" spans="1:93" ht="15.75" customHeight="1">
      <c r="A213" s="28"/>
      <c r="B213" s="196"/>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row>
    <row r="214" spans="1:93" ht="15.75" customHeight="1">
      <c r="A214" s="28"/>
      <c r="B214" s="196"/>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row>
    <row r="215" spans="1:93" ht="15.75" customHeight="1">
      <c r="A215" s="28"/>
      <c r="B215" s="196"/>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row>
    <row r="216" spans="1:93" ht="15.75" customHeight="1">
      <c r="A216" s="28"/>
      <c r="B216" s="196"/>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row>
    <row r="217" spans="1:93" ht="15.75" customHeight="1">
      <c r="A217" s="28"/>
      <c r="B217" s="196"/>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row>
    <row r="218" spans="1:93" ht="15.75" customHeight="1">
      <c r="A218" s="28"/>
      <c r="B218" s="196"/>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row>
    <row r="219" spans="1:93" ht="15.75" customHeight="1">
      <c r="A219" s="28"/>
      <c r="B219" s="196"/>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row>
    <row r="220" spans="1:93" ht="15.75" customHeight="1">
      <c r="A220" s="28"/>
      <c r="B220" s="196"/>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row>
    <row r="221" spans="1:93" ht="15.75" customHeight="1">
      <c r="A221" s="28"/>
      <c r="B221" s="196"/>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row>
    <row r="222" spans="1:93" ht="15.75" customHeight="1">
      <c r="A222" s="28"/>
      <c r="B222" s="196"/>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row>
    <row r="223" spans="1:93" ht="15.75" customHeight="1">
      <c r="A223" s="28"/>
      <c r="B223" s="196"/>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row>
    <row r="224" spans="1:93" ht="15.75" customHeight="1">
      <c r="A224" s="28"/>
      <c r="B224" s="196"/>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v>1</v>
      </c>
      <c r="CO224" s="28"/>
    </row>
    <row r="225" spans="1:93" ht="15.75" customHeight="1">
      <c r="A225" s="28"/>
      <c r="B225" s="196"/>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row>
    <row r="226" spans="1:93" ht="15.75" customHeight="1">
      <c r="A226" s="28"/>
      <c r="B226" s="196"/>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row>
    <row r="227" spans="1:93" ht="15.75" customHeight="1">
      <c r="A227" s="28"/>
      <c r="B227" s="196"/>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row>
    <row r="228" spans="1:93" ht="15.75" customHeight="1">
      <c r="A228" s="28"/>
      <c r="B228" s="196"/>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row>
    <row r="229" spans="1:93" ht="15.75" customHeight="1">
      <c r="A229" s="28"/>
      <c r="B229" s="196"/>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row>
    <row r="230" spans="1:93" ht="15.75" customHeight="1">
      <c r="A230" s="28"/>
      <c r="B230" s="196"/>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row>
    <row r="231" spans="1:93" ht="15.75" customHeight="1">
      <c r="A231" s="28"/>
      <c r="B231" s="196"/>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row>
    <row r="232" spans="1:93" ht="15.75" customHeight="1">
      <c r="A232" s="28"/>
      <c r="B232" s="196"/>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row>
    <row r="233" spans="1:93" ht="15.75" customHeight="1">
      <c r="A233" s="28"/>
      <c r="B233" s="196"/>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row>
    <row r="234" spans="1:93" ht="15.75" customHeight="1">
      <c r="A234" s="28"/>
      <c r="B234" s="196"/>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row>
    <row r="235" spans="1:93" ht="15.75" customHeight="1">
      <c r="A235" s="28"/>
      <c r="B235" s="196"/>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row>
    <row r="236" spans="1:93" ht="15.75" customHeight="1">
      <c r="A236" s="28"/>
      <c r="B236" s="196"/>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row>
    <row r="237" spans="1:93" ht="15.75" customHeight="1">
      <c r="A237" s="28"/>
      <c r="B237" s="196"/>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row>
    <row r="238" spans="1:93" ht="15.75" customHeight="1">
      <c r="A238" s="28"/>
      <c r="B238" s="196"/>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row>
    <row r="239" spans="1:93" ht="15.75" customHeight="1">
      <c r="A239" s="28"/>
      <c r="B239" s="196"/>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row>
    <row r="240" spans="1:93" ht="15.75" customHeight="1">
      <c r="A240" s="28"/>
      <c r="B240" s="196"/>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row>
    <row r="241" spans="1:93" ht="15.75" customHeight="1">
      <c r="A241" s="28"/>
      <c r="B241" s="196"/>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row>
    <row r="242" spans="1:93" ht="15.75" customHeight="1">
      <c r="A242" s="28"/>
      <c r="B242" s="196"/>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row>
    <row r="243" spans="1:93" ht="15.75" customHeight="1">
      <c r="A243" s="28"/>
      <c r="B243" s="196"/>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row>
    <row r="244" spans="1:93" ht="15.75" customHeight="1">
      <c r="A244" s="28"/>
      <c r="B244" s="196"/>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row>
    <row r="245" spans="1:93" ht="15.75" customHeight="1">
      <c r="A245" s="28"/>
      <c r="B245" s="196"/>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row>
    <row r="246" spans="1:93" ht="15.75" customHeight="1">
      <c r="A246" s="28"/>
      <c r="B246" s="196"/>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row>
    <row r="247" spans="1:93" ht="15.75" customHeight="1">
      <c r="A247" s="28"/>
      <c r="B247" s="196"/>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row>
    <row r="248" spans="1:93" ht="15.75" customHeight="1">
      <c r="A248" s="28"/>
      <c r="B248" s="196"/>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row>
    <row r="249" spans="1:93" ht="15.75" customHeight="1">
      <c r="A249" s="28"/>
      <c r="B249" s="196"/>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row>
    <row r="250" spans="1:93" ht="15.75" customHeight="1">
      <c r="A250" s="28"/>
      <c r="B250" s="196"/>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row>
    <row r="251" spans="1:93" ht="15.75" customHeight="1">
      <c r="A251" s="28"/>
      <c r="B251" s="196"/>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row>
    <row r="252" spans="1:93" ht="15.75" customHeight="1">
      <c r="A252" s="28"/>
      <c r="B252" s="196"/>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row>
    <row r="253" spans="1:93" ht="15.75" customHeight="1">
      <c r="A253" s="28"/>
      <c r="B253" s="196"/>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row>
    <row r="254" spans="1:93" ht="15.75" customHeight="1">
      <c r="A254" s="28"/>
      <c r="B254" s="196"/>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row>
    <row r="255" spans="1:93" ht="15.75" customHeight="1">
      <c r="A255" s="28"/>
      <c r="B255" s="196"/>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row>
    <row r="256" spans="1:93" ht="15.75" customHeight="1">
      <c r="A256" s="28"/>
      <c r="B256" s="196"/>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row>
    <row r="257" spans="1:93" ht="15.75" customHeight="1">
      <c r="A257" s="28"/>
      <c r="B257" s="196"/>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row>
    <row r="258" spans="1:93" ht="15.75" customHeight="1">
      <c r="A258" s="28"/>
      <c r="B258" s="196"/>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row>
    <row r="259" spans="1:93" ht="15.75" customHeight="1">
      <c r="A259" s="28"/>
      <c r="B259" s="196"/>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row>
    <row r="260" spans="1:93" ht="15.75" customHeight="1">
      <c r="A260" s="28"/>
      <c r="B260" s="196"/>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row>
    <row r="261" spans="1:93" ht="15.75" customHeight="1">
      <c r="A261" s="28"/>
      <c r="B261" s="196"/>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row>
    <row r="262" spans="1:93" ht="15.75" customHeight="1">
      <c r="A262" s="28"/>
      <c r="B262" s="196"/>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row>
    <row r="263" spans="1:93" ht="15.75" customHeight="1">
      <c r="A263" s="28"/>
      <c r="B263" s="196"/>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row>
    <row r="264" spans="1:93" ht="15.75" customHeight="1">
      <c r="A264" s="28"/>
      <c r="B264" s="196"/>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row>
    <row r="265" spans="1:93" ht="15.75" customHeight="1">
      <c r="A265" s="28"/>
      <c r="B265" s="196"/>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row>
    <row r="266" spans="1:93" ht="15.75" customHeight="1">
      <c r="A266" s="28"/>
      <c r="B266" s="196"/>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row>
    <row r="267" spans="1:93" ht="15.75" customHeight="1">
      <c r="A267" s="28"/>
      <c r="B267" s="196"/>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row>
    <row r="268" spans="1:93" ht="15.75" customHeight="1">
      <c r="A268" s="28"/>
      <c r="B268" s="196"/>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row>
    <row r="269" spans="1:93" ht="15.75" customHeight="1">
      <c r="A269" s="28"/>
      <c r="B269" s="196"/>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row>
    <row r="270" spans="1:93" ht="15.75" customHeight="1">
      <c r="A270" s="28"/>
      <c r="B270" s="196"/>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row>
    <row r="271" spans="1:93" ht="15.75" customHeight="1">
      <c r="A271" s="28"/>
      <c r="B271" s="196"/>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row>
    <row r="272" spans="1:93" ht="15.75" customHeight="1">
      <c r="A272" s="28"/>
      <c r="B272" s="196"/>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row>
    <row r="273" spans="1:93" ht="15.75" customHeight="1">
      <c r="A273" s="28"/>
      <c r="B273" s="196"/>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row>
    <row r="274" spans="1:93" ht="15.75" customHeight="1">
      <c r="A274" s="28"/>
      <c r="B274" s="196"/>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row>
    <row r="275" spans="1:93" ht="15.75" customHeight="1">
      <c r="A275" s="28"/>
      <c r="B275" s="196"/>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row>
    <row r="276" spans="1:93" ht="15.75" customHeight="1">
      <c r="A276" s="28"/>
      <c r="B276" s="196"/>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row>
    <row r="277" spans="1:93" ht="15.75" customHeight="1">
      <c r="A277" s="28"/>
      <c r="B277" s="196"/>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row>
    <row r="278" spans="1:93" ht="15.75" customHeight="1">
      <c r="A278" s="28"/>
      <c r="B278" s="196"/>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row>
    <row r="279" spans="1:93" ht="15.75" customHeight="1">
      <c r="A279" s="28"/>
      <c r="B279" s="196"/>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row>
    <row r="280" spans="1:93" ht="15.75" customHeight="1">
      <c r="A280" s="28"/>
      <c r="B280" s="196"/>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row>
    <row r="281" spans="1:93" ht="15.75" customHeight="1">
      <c r="A281" s="28"/>
      <c r="B281" s="196"/>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row>
    <row r="282" spans="1:93" ht="15.75" customHeight="1">
      <c r="A282" s="28"/>
      <c r="B282" s="196"/>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row>
    <row r="283" spans="1:93" ht="15.75" customHeight="1">
      <c r="A283" s="28"/>
      <c r="B283" s="196"/>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row>
    <row r="284" spans="1:93" ht="15.75" customHeight="1">
      <c r="A284" s="28"/>
      <c r="B284" s="196"/>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row>
    <row r="285" spans="1:93" ht="15.75" customHeight="1">
      <c r="A285" s="28"/>
      <c r="B285" s="196"/>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row>
    <row r="286" spans="1:93" ht="15.75" customHeight="1">
      <c r="A286" s="28"/>
      <c r="B286" s="196"/>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row>
    <row r="287" spans="1:93" ht="15.75" customHeight="1">
      <c r="A287" s="28"/>
      <c r="B287" s="196"/>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row>
    <row r="288" spans="1:93" ht="15.75" customHeight="1">
      <c r="A288" s="28"/>
      <c r="B288" s="196"/>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row>
    <row r="289" spans="1:93" ht="15.75" customHeight="1">
      <c r="A289" s="28"/>
      <c r="B289" s="196"/>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row>
    <row r="290" spans="1:93" ht="15.75" customHeight="1">
      <c r="A290" s="28"/>
      <c r="B290" s="196"/>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row>
    <row r="291" spans="1:93" ht="15.75" customHeight="1">
      <c r="A291" s="28"/>
      <c r="B291" s="196"/>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row>
    <row r="292" spans="1:93" ht="15.75" customHeight="1">
      <c r="A292" s="28"/>
      <c r="B292" s="196"/>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row>
    <row r="293" spans="1:93" ht="15.75" customHeight="1">
      <c r="A293" s="28"/>
      <c r="B293" s="196"/>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row>
    <row r="294" spans="1:93" ht="15.75" customHeight="1">
      <c r="A294" s="28"/>
      <c r="B294" s="196"/>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row>
    <row r="295" spans="1:93" ht="15.75" customHeight="1">
      <c r="A295" s="28"/>
      <c r="B295" s="196"/>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row>
    <row r="296" spans="1:93" ht="15.75" customHeight="1">
      <c r="A296" s="28"/>
      <c r="B296" s="196"/>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row>
    <row r="297" spans="1:93" ht="15.75" customHeight="1">
      <c r="A297" s="28"/>
      <c r="B297" s="196"/>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row>
    <row r="298" spans="1:93" ht="15.75" customHeight="1">
      <c r="A298" s="28"/>
      <c r="B298" s="196"/>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row>
    <row r="299" spans="1:93" ht="15.75" customHeight="1">
      <c r="A299" s="28"/>
      <c r="B299" s="196"/>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row>
    <row r="300" spans="1:93" ht="15.75" customHeight="1">
      <c r="A300" s="28"/>
      <c r="B300" s="196"/>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row>
    <row r="301" spans="1:93" ht="15.75" customHeight="1">
      <c r="A301" s="28"/>
      <c r="B301" s="196"/>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row>
    <row r="302" spans="1:93" ht="15.75" customHeight="1">
      <c r="A302" s="28"/>
      <c r="B302" s="196"/>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row>
    <row r="303" spans="1:93" ht="15.75" customHeight="1">
      <c r="A303" s="28"/>
      <c r="B303" s="196"/>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row>
    <row r="304" spans="1:93" ht="15.75" customHeight="1">
      <c r="A304" s="28"/>
      <c r="B304" s="196"/>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row>
    <row r="305" spans="1:93" ht="15.75" customHeight="1">
      <c r="A305" s="28"/>
      <c r="B305" s="196"/>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row>
    <row r="306" spans="1:93" ht="15.75" customHeight="1">
      <c r="A306" s="28"/>
      <c r="B306" s="196"/>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row>
    <row r="307" spans="1:93" ht="15.75" customHeight="1">
      <c r="A307" s="28"/>
      <c r="B307" s="196"/>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row>
    <row r="308" spans="1:93" ht="15.75" customHeight="1">
      <c r="A308" s="28"/>
      <c r="B308" s="196"/>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row>
    <row r="309" spans="1:93" ht="15.75" customHeight="1">
      <c r="A309" s="28"/>
      <c r="B309" s="196"/>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row>
    <row r="310" spans="1:93" ht="15.75" customHeight="1">
      <c r="A310" s="28"/>
      <c r="B310" s="196"/>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row>
    <row r="311" spans="1:93" ht="15.75" customHeight="1">
      <c r="A311" s="28"/>
      <c r="B311" s="196"/>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row>
    <row r="312" spans="1:93" ht="15.75" customHeight="1">
      <c r="A312" s="28"/>
      <c r="B312" s="196"/>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row>
    <row r="313" spans="1:93" ht="15.75" customHeight="1">
      <c r="A313" s="28"/>
      <c r="B313" s="196"/>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row>
    <row r="314" spans="1:93" ht="15.75" customHeight="1">
      <c r="A314" s="28"/>
      <c r="B314" s="196"/>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row>
    <row r="315" spans="1:93" ht="15.75" customHeight="1">
      <c r="A315" s="28"/>
      <c r="B315" s="196"/>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row>
    <row r="316" spans="1:93" ht="15.75" customHeight="1">
      <c r="A316" s="28"/>
      <c r="B316" s="196"/>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row>
    <row r="317" spans="1:93" ht="15.75" customHeight="1">
      <c r="A317" s="28"/>
      <c r="B317" s="196"/>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row>
    <row r="318" spans="1:93" ht="15.75" customHeight="1">
      <c r="A318" s="28"/>
      <c r="B318" s="196"/>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row>
    <row r="319" spans="1:93" ht="15.75" customHeight="1">
      <c r="A319" s="28"/>
      <c r="B319" s="196"/>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row>
    <row r="320" spans="1:93" ht="15.75" customHeight="1">
      <c r="A320" s="28"/>
      <c r="B320" s="196"/>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row>
    <row r="321" spans="1:93" ht="15.75" customHeight="1">
      <c r="A321" s="28"/>
      <c r="B321" s="196"/>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row>
    <row r="322" spans="1:93" ht="15.75" customHeight="1">
      <c r="A322" s="28"/>
      <c r="B322" s="196"/>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row>
    <row r="323" spans="1:93" ht="15.75" customHeight="1">
      <c r="A323" s="28"/>
      <c r="B323" s="196"/>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row>
    <row r="324" spans="1:93" ht="15.75" customHeight="1">
      <c r="A324" s="28"/>
      <c r="B324" s="196"/>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row>
    <row r="325" spans="1:93" ht="15.75" customHeight="1">
      <c r="A325" s="28"/>
      <c r="B325" s="196"/>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row>
    <row r="326" spans="1:93" ht="15.75" customHeight="1">
      <c r="A326" s="28"/>
      <c r="B326" s="196"/>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row>
    <row r="327" spans="1:93" ht="15.75" customHeight="1">
      <c r="A327" s="28"/>
      <c r="B327" s="196"/>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row>
    <row r="328" spans="1:93" ht="15.75" customHeight="1">
      <c r="A328" s="28"/>
      <c r="B328" s="196"/>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row>
    <row r="329" spans="1:93" ht="15.75" customHeight="1">
      <c r="A329" s="28"/>
      <c r="B329" s="196"/>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row>
    <row r="330" spans="1:93" ht="15.75" customHeight="1">
      <c r="A330" s="28"/>
      <c r="B330" s="196"/>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row>
    <row r="331" spans="1:93" ht="15.75" customHeight="1">
      <c r="A331" s="28"/>
      <c r="B331" s="196"/>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row>
    <row r="332" spans="1:93" ht="15.75" customHeight="1">
      <c r="A332" s="28"/>
      <c r="B332" s="196"/>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row>
    <row r="333" spans="1:93" ht="15.75" customHeight="1">
      <c r="A333" s="28"/>
      <c r="B333" s="196"/>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row>
    <row r="334" spans="1:93" ht="15.75" customHeight="1">
      <c r="A334" s="28"/>
      <c r="B334" s="196"/>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row>
    <row r="335" spans="1:93" ht="15.75" customHeight="1">
      <c r="A335" s="28"/>
      <c r="B335" s="196"/>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row>
    <row r="336" spans="1:93" ht="15.75" customHeight="1">
      <c r="A336" s="28"/>
      <c r="B336" s="196"/>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row>
    <row r="337" spans="1:93" ht="15.75" customHeight="1">
      <c r="A337" s="28"/>
      <c r="B337" s="196"/>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row>
    <row r="338" spans="1:93" ht="15.75" customHeight="1">
      <c r="A338" s="28"/>
      <c r="B338" s="196"/>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row>
    <row r="339" spans="1:93" ht="15.75" customHeight="1">
      <c r="A339" s="28"/>
      <c r="B339" s="196"/>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row>
    <row r="340" spans="1:93" ht="15.75" customHeight="1">
      <c r="A340" s="28"/>
      <c r="B340" s="196"/>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row>
    <row r="341" spans="1:93" ht="15.75" customHeight="1">
      <c r="A341" s="28"/>
      <c r="B341" s="196"/>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row>
    <row r="342" spans="1:93" ht="15.75" customHeight="1">
      <c r="A342" s="28"/>
      <c r="B342" s="196"/>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row>
    <row r="343" spans="1:93" ht="15.75" customHeight="1">
      <c r="A343" s="28"/>
      <c r="B343" s="196"/>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row>
    <row r="344" spans="1:93" ht="15.75" customHeight="1">
      <c r="A344" s="28"/>
      <c r="B344" s="196"/>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row>
    <row r="345" spans="1:93" ht="15.75" customHeight="1">
      <c r="A345" s="28"/>
      <c r="B345" s="196"/>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row>
    <row r="346" spans="1:93" ht="15.75" customHeight="1">
      <c r="A346" s="28"/>
      <c r="B346" s="196"/>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row>
    <row r="347" spans="1:93" ht="15.75" customHeight="1">
      <c r="A347" s="28"/>
      <c r="B347" s="196"/>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row>
    <row r="348" spans="1:93" ht="15.75" customHeight="1">
      <c r="A348" s="28"/>
      <c r="B348" s="196"/>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row>
    <row r="349" spans="1:93" ht="15.75" customHeight="1">
      <c r="A349" s="28"/>
      <c r="B349" s="196"/>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row>
    <row r="350" spans="1:93" ht="15.75" customHeight="1">
      <c r="A350" s="28"/>
      <c r="B350" s="196"/>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row>
    <row r="351" spans="1:93" ht="15.75" customHeight="1">
      <c r="A351" s="28"/>
      <c r="B351" s="196"/>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row>
    <row r="352" spans="1:93" ht="15.75" customHeight="1">
      <c r="A352" s="28"/>
      <c r="B352" s="196"/>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row>
    <row r="353" spans="1:93" ht="15.75" customHeight="1">
      <c r="A353" s="28"/>
      <c r="B353" s="196"/>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row>
    <row r="354" spans="1:93" ht="15.75" customHeight="1">
      <c r="A354" s="28"/>
      <c r="B354" s="196"/>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row>
    <row r="355" spans="1:93" ht="15.75" customHeight="1">
      <c r="A355" s="28"/>
      <c r="B355" s="196"/>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row>
    <row r="356" spans="1:93" ht="15.75" customHeight="1">
      <c r="A356" s="28"/>
      <c r="B356" s="196"/>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row>
    <row r="357" spans="1:93" ht="15.75" customHeight="1">
      <c r="A357" s="28"/>
      <c r="B357" s="196"/>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row>
    <row r="358" spans="1:93" ht="15.75" customHeight="1">
      <c r="A358" s="28"/>
      <c r="B358" s="196"/>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row>
    <row r="359" spans="1:93" ht="15.75" customHeight="1">
      <c r="A359" s="28"/>
      <c r="B359" s="196"/>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row>
    <row r="360" spans="1:93" ht="15.75" customHeight="1">
      <c r="A360" s="28"/>
      <c r="B360" s="196"/>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row>
    <row r="361" spans="1:93" ht="15.75" customHeight="1">
      <c r="A361" s="28"/>
      <c r="B361" s="196"/>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row>
    <row r="362" spans="1:93" ht="15.75" customHeight="1">
      <c r="A362" s="28"/>
      <c r="B362" s="196"/>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row>
    <row r="363" spans="1:93" ht="15.75" customHeight="1">
      <c r="A363" s="28"/>
      <c r="B363" s="196"/>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row>
    <row r="364" spans="1:93" ht="15.75" customHeight="1">
      <c r="A364" s="28"/>
      <c r="B364" s="196"/>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row>
    <row r="365" spans="1:93" ht="15.75" customHeight="1">
      <c r="A365" s="28"/>
      <c r="B365" s="196"/>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row>
    <row r="366" spans="1:93" ht="15.75" customHeight="1">
      <c r="A366" s="28"/>
      <c r="B366" s="196"/>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row>
    <row r="367" spans="1:93" ht="15.75" customHeight="1">
      <c r="A367" s="28"/>
      <c r="B367" s="196"/>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row>
    <row r="368" spans="1:93" ht="15.75" customHeight="1">
      <c r="A368" s="28"/>
      <c r="B368" s="196"/>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row>
    <row r="369" spans="1:93" ht="15.75" customHeight="1">
      <c r="A369" s="28"/>
      <c r="B369" s="196"/>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row>
    <row r="370" spans="1:93" ht="15.75" customHeight="1">
      <c r="A370" s="28"/>
      <c r="B370" s="196"/>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row>
    <row r="371" spans="1:93" ht="15.75" customHeight="1">
      <c r="A371" s="28"/>
      <c r="B371" s="196"/>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row>
    <row r="372" spans="1:93" ht="15.75" customHeight="1">
      <c r="A372" s="28"/>
      <c r="B372" s="196"/>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row>
    <row r="373" spans="1:93" ht="15.75" customHeight="1">
      <c r="A373" s="28"/>
      <c r="B373" s="196"/>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row>
    <row r="374" spans="1:93" ht="15.75" customHeight="1">
      <c r="A374" s="28"/>
      <c r="B374" s="196"/>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row>
    <row r="375" spans="1:93" ht="15.75" customHeight="1">
      <c r="A375" s="28"/>
      <c r="B375" s="196"/>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row>
    <row r="376" spans="1:93" ht="15.75" customHeight="1">
      <c r="A376" s="28"/>
      <c r="B376" s="196"/>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row>
    <row r="377" spans="1:93" ht="15.75" customHeight="1">
      <c r="A377" s="28"/>
      <c r="B377" s="196"/>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row>
    <row r="378" spans="1:93" ht="15.75" customHeight="1">
      <c r="A378" s="28"/>
      <c r="B378" s="196"/>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row>
    <row r="379" spans="1:93" ht="15.75" customHeight="1">
      <c r="A379" s="28"/>
      <c r="B379" s="196"/>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row>
    <row r="380" spans="1:93" ht="15.75" customHeight="1">
      <c r="A380" s="28"/>
      <c r="B380" s="196"/>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row>
    <row r="381" spans="1:93" ht="15.75" customHeight="1">
      <c r="A381" s="28"/>
      <c r="B381" s="196"/>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row>
    <row r="382" spans="1:93" ht="15.75" customHeight="1">
      <c r="A382" s="28"/>
      <c r="B382" s="196"/>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row>
    <row r="383" spans="1:93" ht="15.75" customHeight="1">
      <c r="A383" s="28"/>
      <c r="B383" s="196"/>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row>
    <row r="384" spans="1:93" ht="15.75" customHeight="1">
      <c r="A384" s="28"/>
      <c r="B384" s="196"/>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row>
    <row r="385" spans="1:93" ht="15.75" customHeight="1">
      <c r="A385" s="28"/>
      <c r="B385" s="196"/>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row>
    <row r="386" spans="1:93" ht="15.75" customHeight="1">
      <c r="A386" s="28"/>
      <c r="B386" s="196"/>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row>
    <row r="387" spans="1:93" ht="15.75" customHeight="1">
      <c r="A387" s="28"/>
      <c r="B387" s="196"/>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row>
    <row r="388" spans="1:93" ht="15.75" customHeight="1">
      <c r="A388" s="28"/>
      <c r="B388" s="196"/>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row>
    <row r="389" spans="1:93" ht="15.75" customHeight="1">
      <c r="A389" s="28"/>
      <c r="B389" s="196"/>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row>
    <row r="390" spans="1:93" ht="15.75" customHeight="1">
      <c r="A390" s="28"/>
      <c r="B390" s="196"/>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row>
    <row r="391" spans="1:93" ht="15.75" customHeight="1">
      <c r="A391" s="28"/>
      <c r="B391" s="196"/>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row>
    <row r="392" spans="1:93" ht="15.75" customHeight="1">
      <c r="A392" s="28"/>
      <c r="B392" s="196"/>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row>
    <row r="393" spans="1:93" ht="15.75" customHeight="1">
      <c r="A393" s="28"/>
      <c r="B393" s="196"/>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row>
    <row r="394" spans="1:93" ht="15.75" customHeight="1">
      <c r="A394" s="28"/>
      <c r="B394" s="196"/>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row>
    <row r="395" spans="1:93" ht="15.75" customHeight="1">
      <c r="A395" s="28"/>
      <c r="B395" s="196"/>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row>
    <row r="396" spans="1:93" ht="15.75" customHeight="1">
      <c r="A396" s="28"/>
      <c r="B396" s="196"/>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row>
    <row r="397" spans="1:93" ht="15.75" customHeight="1">
      <c r="A397" s="28"/>
      <c r="B397" s="196"/>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row>
    <row r="398" spans="1:93" ht="15.75" customHeight="1">
      <c r="A398" s="28"/>
      <c r="B398" s="196"/>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row>
    <row r="399" spans="1:93" ht="15.75" customHeight="1">
      <c r="A399" s="28"/>
      <c r="B399" s="196"/>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row>
    <row r="400" spans="1:93" ht="15.75" customHeight="1">
      <c r="A400" s="28"/>
      <c r="B400" s="196"/>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row>
    <row r="401" spans="1:93" ht="15.75" customHeight="1">
      <c r="A401" s="28"/>
      <c r="B401" s="196"/>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row>
    <row r="402" spans="1:93" ht="15.75" customHeight="1">
      <c r="A402" s="28"/>
      <c r="B402" s="196"/>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row>
    <row r="403" spans="1:93" ht="15.75" customHeight="1">
      <c r="A403" s="28"/>
      <c r="B403" s="196"/>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row>
    <row r="404" spans="1:93" ht="15.75" customHeight="1">
      <c r="A404" s="28"/>
      <c r="B404" s="196"/>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row>
    <row r="405" spans="1:93" ht="15.75" customHeight="1">
      <c r="A405" s="28"/>
      <c r="B405" s="196"/>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row>
    <row r="406" spans="1:93" ht="15.75" customHeight="1">
      <c r="A406" s="28"/>
      <c r="B406" s="196"/>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row>
    <row r="407" spans="1:93" ht="15.75" customHeight="1">
      <c r="A407" s="28"/>
      <c r="B407" s="196"/>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row>
    <row r="408" spans="1:93" ht="15.75" customHeight="1">
      <c r="A408" s="28"/>
      <c r="B408" s="196"/>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row>
    <row r="409" spans="1:93" ht="15.75" customHeight="1">
      <c r="A409" s="28"/>
      <c r="B409" s="196"/>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row>
    <row r="410" spans="1:93" ht="15.75" customHeight="1">
      <c r="A410" s="28"/>
      <c r="B410" s="196"/>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row>
    <row r="411" spans="1:93" ht="15.75" customHeight="1">
      <c r="A411" s="28"/>
      <c r="B411" s="196"/>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row>
    <row r="412" spans="1:93" ht="15.75" customHeight="1">
      <c r="A412" s="28"/>
      <c r="B412" s="196"/>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row>
    <row r="413" spans="1:93" ht="15.75" customHeight="1">
      <c r="A413" s="28"/>
      <c r="B413" s="196"/>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row>
    <row r="414" spans="1:93" ht="15.75" customHeight="1">
      <c r="A414" s="28"/>
      <c r="B414" s="196"/>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row>
    <row r="415" spans="1:93" ht="15.75" customHeight="1">
      <c r="A415" s="28"/>
      <c r="B415" s="196"/>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row>
    <row r="416" spans="1:93" ht="15.75" customHeight="1">
      <c r="A416" s="28"/>
      <c r="B416" s="196"/>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row>
    <row r="417" spans="1:93" ht="15.75" customHeight="1">
      <c r="A417" s="28"/>
      <c r="B417" s="196"/>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row>
    <row r="418" spans="1:93" ht="15.75" customHeight="1">
      <c r="A418" s="28"/>
      <c r="B418" s="196"/>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row>
    <row r="419" spans="1:93" ht="15.75" customHeight="1">
      <c r="A419" s="28"/>
      <c r="B419" s="196"/>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row>
    <row r="420" spans="1:93" ht="15.75" customHeight="1">
      <c r="A420" s="28"/>
      <c r="B420" s="196"/>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row>
    <row r="421" spans="1:93" ht="15.75" customHeight="1">
      <c r="A421" s="28"/>
      <c r="B421" s="196"/>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row>
    <row r="422" spans="1:93" ht="15.75" customHeight="1">
      <c r="A422" s="28"/>
      <c r="B422" s="196"/>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row>
    <row r="423" spans="1:93" ht="15.75" customHeight="1">
      <c r="A423" s="28"/>
      <c r="B423" s="196"/>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row>
    <row r="424" spans="1:93" ht="15.75" customHeight="1">
      <c r="A424" s="28"/>
      <c r="B424" s="196"/>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row>
    <row r="425" spans="1:93" ht="15.75" customHeight="1">
      <c r="A425" s="28"/>
      <c r="B425" s="196"/>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row>
    <row r="426" spans="1:93" ht="15.75" customHeight="1">
      <c r="A426" s="28"/>
      <c r="B426" s="196"/>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row>
    <row r="427" spans="1:93" ht="15.75" customHeight="1">
      <c r="A427" s="28"/>
      <c r="B427" s="196"/>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row>
    <row r="428" spans="1:93" ht="15.75" customHeight="1">
      <c r="A428" s="28"/>
      <c r="B428" s="196"/>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row>
    <row r="429" spans="1:93" ht="15.75" customHeight="1">
      <c r="A429" s="28"/>
      <c r="B429" s="196"/>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row>
    <row r="430" spans="1:93" ht="15.75" customHeight="1">
      <c r="A430" s="28"/>
      <c r="B430" s="196"/>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row>
    <row r="431" spans="1:93" ht="15.75" customHeight="1">
      <c r="A431" s="28"/>
      <c r="B431" s="196"/>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row>
    <row r="432" spans="1:93" ht="15.75" customHeight="1">
      <c r="A432" s="28"/>
      <c r="B432" s="196"/>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row>
    <row r="433" spans="1:93" ht="15.75" customHeight="1">
      <c r="A433" s="28"/>
      <c r="B433" s="196"/>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row>
    <row r="434" spans="1:93" ht="15.75" customHeight="1">
      <c r="A434" s="28"/>
      <c r="B434" s="196"/>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row>
    <row r="435" spans="1:93" ht="15.75" customHeight="1">
      <c r="A435" s="28"/>
      <c r="B435" s="196"/>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row>
    <row r="436" spans="1:93" ht="15.75" customHeight="1">
      <c r="A436" s="28"/>
      <c r="B436" s="196"/>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row>
    <row r="437" spans="1:93" ht="15.75" customHeight="1">
      <c r="A437" s="28"/>
      <c r="B437" s="196"/>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row>
    <row r="438" spans="1:93" ht="15.75" customHeight="1">
      <c r="A438" s="28"/>
      <c r="B438" s="196"/>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row>
    <row r="439" spans="1:93" ht="15.75" customHeight="1">
      <c r="A439" s="28"/>
      <c r="B439" s="196"/>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row>
    <row r="440" spans="1:93" ht="15.75" customHeight="1">
      <c r="A440" s="28"/>
      <c r="B440" s="196"/>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row>
    <row r="441" spans="1:93" ht="15.75" customHeight="1">
      <c r="A441" s="28"/>
      <c r="B441" s="196"/>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row>
    <row r="442" spans="1:93" ht="15.75" customHeight="1">
      <c r="A442" s="28"/>
      <c r="B442" s="196"/>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row>
    <row r="443" spans="1:93" ht="15.75" customHeight="1">
      <c r="A443" s="28"/>
      <c r="B443" s="196"/>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row>
    <row r="444" spans="1:93" ht="15.75" customHeight="1">
      <c r="A444" s="28"/>
      <c r="B444" s="196"/>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row>
    <row r="445" spans="1:93" ht="15.75" customHeight="1">
      <c r="A445" s="28"/>
      <c r="B445" s="196"/>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row>
    <row r="446" spans="1:93" ht="15.75" customHeight="1">
      <c r="A446" s="28"/>
      <c r="B446" s="196"/>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row>
    <row r="447" spans="1:93" ht="15.75" customHeight="1">
      <c r="A447" s="28"/>
      <c r="B447" s="196"/>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row>
    <row r="448" spans="1:93" ht="15.75" customHeight="1">
      <c r="A448" s="28"/>
      <c r="B448" s="196"/>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row>
    <row r="449" spans="1:93" ht="15.75" customHeight="1">
      <c r="A449" s="28"/>
      <c r="B449" s="196"/>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row>
    <row r="450" spans="1:93" ht="15.75" customHeight="1">
      <c r="A450" s="28"/>
      <c r="B450" s="196"/>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row>
    <row r="451" spans="1:93" ht="15.75" customHeight="1">
      <c r="A451" s="28"/>
      <c r="B451" s="196"/>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row>
    <row r="452" spans="1:93" ht="15.75" customHeight="1">
      <c r="A452" s="28"/>
      <c r="B452" s="196"/>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row>
    <row r="453" spans="1:93" ht="15.75" customHeight="1">
      <c r="A453" s="28"/>
      <c r="B453" s="196"/>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row>
    <row r="454" spans="1:93" ht="15.75" customHeight="1">
      <c r="A454" s="28"/>
      <c r="B454" s="196"/>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row>
    <row r="455" spans="1:93" ht="15.75" customHeight="1">
      <c r="A455" s="28"/>
      <c r="B455" s="196"/>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row>
    <row r="456" spans="1:93" ht="15.75" customHeight="1">
      <c r="A456" s="28"/>
      <c r="B456" s="196"/>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row>
    <row r="457" spans="1:93" ht="15.75" customHeight="1">
      <c r="A457" s="28"/>
      <c r="B457" s="196"/>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row>
    <row r="458" spans="1:93" ht="15.75" customHeight="1">
      <c r="A458" s="28"/>
      <c r="B458" s="196"/>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row>
    <row r="459" spans="1:93" ht="15.75" customHeight="1">
      <c r="A459" s="28"/>
      <c r="B459" s="196"/>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row>
    <row r="460" spans="1:93" ht="15.75" customHeight="1">
      <c r="A460" s="28"/>
      <c r="B460" s="196"/>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row>
    <row r="461" spans="1:93" ht="15.75" customHeight="1">
      <c r="A461" s="28"/>
      <c r="B461" s="196"/>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row>
    <row r="462" spans="1:93" ht="15.75" customHeight="1">
      <c r="A462" s="28"/>
      <c r="B462" s="196"/>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row>
    <row r="463" spans="1:93" ht="15.75" customHeight="1">
      <c r="A463" s="28"/>
      <c r="B463" s="196"/>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row>
    <row r="464" spans="1:93" ht="15.75" customHeight="1">
      <c r="A464" s="28"/>
      <c r="B464" s="196"/>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row>
    <row r="465" spans="1:93" ht="15.75" customHeight="1">
      <c r="A465" s="28"/>
      <c r="B465" s="196"/>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row>
    <row r="466" spans="1:93" ht="15.75" customHeight="1">
      <c r="A466" s="28"/>
      <c r="B466" s="196"/>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row>
    <row r="467" spans="1:93" ht="15.75" customHeight="1">
      <c r="A467" s="28"/>
      <c r="B467" s="196"/>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row>
    <row r="468" spans="1:93" ht="15.75" customHeight="1">
      <c r="A468" s="28"/>
      <c r="B468" s="196"/>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row>
    <row r="469" spans="1:93" ht="15.75" customHeight="1">
      <c r="A469" s="28"/>
      <c r="B469" s="196"/>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row>
    <row r="470" spans="1:93" ht="15.75" customHeight="1">
      <c r="A470" s="28"/>
      <c r="B470" s="196"/>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row>
    <row r="471" spans="1:93" ht="15.75" customHeight="1">
      <c r="A471" s="28"/>
      <c r="B471" s="196"/>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row>
    <row r="472" spans="1:93" ht="15.75" customHeight="1">
      <c r="A472" s="28"/>
      <c r="B472" s="196"/>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row>
    <row r="473" spans="1:93" ht="15.75" customHeight="1">
      <c r="A473" s="28"/>
      <c r="B473" s="196"/>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row>
    <row r="474" spans="1:93" ht="15.75" customHeight="1">
      <c r="A474" s="28"/>
      <c r="B474" s="196"/>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row>
    <row r="475" spans="1:93" ht="15.75" customHeight="1">
      <c r="A475" s="28"/>
      <c r="B475" s="196"/>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row>
    <row r="476" spans="1:93" ht="15.75" customHeight="1">
      <c r="A476" s="28"/>
      <c r="B476" s="196"/>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row>
    <row r="477" spans="1:93" ht="15.75" customHeight="1">
      <c r="A477" s="28"/>
      <c r="B477" s="196"/>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row>
    <row r="478" spans="1:93" ht="15.75" customHeight="1">
      <c r="A478" s="28"/>
      <c r="B478" s="196"/>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row>
    <row r="479" spans="1:93" ht="15.75" customHeight="1">
      <c r="A479" s="28"/>
      <c r="B479" s="196"/>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row>
    <row r="480" spans="1:93" ht="15.75" customHeight="1">
      <c r="A480" s="28"/>
      <c r="B480" s="196"/>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row>
    <row r="481" spans="1:93" ht="15.75" customHeight="1">
      <c r="A481" s="28"/>
      <c r="B481" s="196"/>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row>
    <row r="482" spans="1:93" ht="15.75" customHeight="1">
      <c r="A482" s="28"/>
      <c r="B482" s="196"/>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row>
    <row r="483" spans="1:93" ht="15.75" customHeight="1">
      <c r="A483" s="28"/>
      <c r="B483" s="196"/>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row>
    <row r="484" spans="1:93" ht="15.75" customHeight="1">
      <c r="A484" s="28"/>
      <c r="B484" s="196"/>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row>
    <row r="485" spans="1:93" ht="15.75" customHeight="1">
      <c r="A485" s="28"/>
      <c r="B485" s="196"/>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row>
    <row r="486" spans="1:93" ht="15.75" customHeight="1">
      <c r="A486" s="28"/>
      <c r="B486" s="196"/>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row>
    <row r="487" spans="1:93" ht="15.75" customHeight="1">
      <c r="A487" s="28"/>
      <c r="B487" s="196"/>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row>
    <row r="488" spans="1:93" ht="15.75" customHeight="1">
      <c r="A488" s="28"/>
      <c r="B488" s="196"/>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row>
    <row r="489" spans="1:93" ht="15.75" customHeight="1">
      <c r="A489" s="28"/>
      <c r="B489" s="196"/>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row>
    <row r="490" spans="1:93" ht="15.75" customHeight="1">
      <c r="A490" s="28"/>
      <c r="B490" s="196"/>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row>
    <row r="491" spans="1:93" ht="15.75" customHeight="1">
      <c r="A491" s="28"/>
      <c r="B491" s="196"/>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row>
    <row r="492" spans="1:93" ht="15.75" customHeight="1">
      <c r="A492" s="28"/>
      <c r="B492" s="196"/>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row>
    <row r="493" spans="1:93" ht="15.75" customHeight="1">
      <c r="A493" s="28"/>
      <c r="B493" s="196"/>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row>
    <row r="494" spans="1:93" ht="15.75" customHeight="1">
      <c r="A494" s="28"/>
      <c r="B494" s="196"/>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row>
    <row r="495" spans="1:93" ht="15.75" customHeight="1">
      <c r="A495" s="28"/>
      <c r="B495" s="196"/>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row>
    <row r="496" spans="1:93" ht="15.75" customHeight="1">
      <c r="A496" s="28"/>
      <c r="B496" s="196"/>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row>
    <row r="497" spans="1:93" ht="15.75" customHeight="1">
      <c r="A497" s="28"/>
      <c r="B497" s="196"/>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row>
    <row r="498" spans="1:93" ht="15.75" customHeight="1">
      <c r="A498" s="28"/>
      <c r="B498" s="196"/>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row>
    <row r="499" spans="1:93" ht="15.75" customHeight="1">
      <c r="A499" s="28"/>
      <c r="B499" s="196"/>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row>
    <row r="500" spans="1:93" ht="15.75" customHeight="1">
      <c r="A500" s="28"/>
      <c r="B500" s="196"/>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row>
    <row r="501" spans="1:93" ht="15.75" customHeight="1">
      <c r="A501" s="28"/>
      <c r="B501" s="196"/>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row>
    <row r="502" spans="1:93" ht="15.75" customHeight="1">
      <c r="A502" s="28"/>
      <c r="B502" s="196"/>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row>
    <row r="503" spans="1:93" ht="15.75" customHeight="1">
      <c r="A503" s="28"/>
      <c r="B503" s="196"/>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row>
    <row r="504" spans="1:93" ht="15.75" customHeight="1">
      <c r="A504" s="28"/>
      <c r="B504" s="196"/>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row>
    <row r="505" spans="1:93" ht="15.75" customHeight="1">
      <c r="A505" s="28"/>
      <c r="B505" s="196"/>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row>
    <row r="506" spans="1:93" ht="15.75" customHeight="1">
      <c r="A506" s="28"/>
      <c r="B506" s="196"/>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row>
    <row r="507" spans="1:93" ht="15.75" customHeight="1">
      <c r="A507" s="28"/>
      <c r="B507" s="196"/>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row>
    <row r="508" spans="1:93" ht="15.75" customHeight="1">
      <c r="A508" s="28"/>
      <c r="B508" s="196"/>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row>
    <row r="509" spans="1:93" ht="15.75" customHeight="1">
      <c r="A509" s="28"/>
      <c r="B509" s="196"/>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row>
    <row r="510" spans="1:93" ht="15.75" customHeight="1">
      <c r="A510" s="28"/>
      <c r="B510" s="196"/>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row>
    <row r="511" spans="1:93" ht="15.75" customHeight="1">
      <c r="A511" s="28"/>
      <c r="B511" s="196"/>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row>
    <row r="512" spans="1:93" ht="15.75" customHeight="1">
      <c r="A512" s="28"/>
      <c r="B512" s="196"/>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row>
    <row r="513" spans="1:93" ht="15.75" customHeight="1">
      <c r="A513" s="28"/>
      <c r="B513" s="196"/>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row>
    <row r="514" spans="1:93" ht="15.75" customHeight="1">
      <c r="A514" s="28"/>
      <c r="B514" s="196"/>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row>
    <row r="515" spans="1:93" ht="15.75" customHeight="1">
      <c r="A515" s="28"/>
      <c r="B515" s="196"/>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row>
    <row r="516" spans="1:93" ht="15.75" customHeight="1">
      <c r="A516" s="28"/>
      <c r="B516" s="196"/>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row>
    <row r="517" spans="1:93" ht="15.75" customHeight="1">
      <c r="A517" s="28"/>
      <c r="B517" s="196"/>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row>
    <row r="518" spans="1:93" ht="15.75" customHeight="1">
      <c r="A518" s="28"/>
      <c r="B518" s="196"/>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row>
    <row r="519" spans="1:93" ht="15.75" customHeight="1">
      <c r="A519" s="28"/>
      <c r="B519" s="196"/>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row>
    <row r="520" spans="1:93" ht="15.75" customHeight="1">
      <c r="A520" s="28"/>
      <c r="B520" s="196"/>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row>
    <row r="521" spans="1:93" ht="15.75" customHeight="1">
      <c r="A521" s="28"/>
      <c r="B521" s="196"/>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row>
    <row r="522" spans="1:93" ht="15.75" customHeight="1">
      <c r="A522" s="28"/>
      <c r="B522" s="196"/>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row>
    <row r="523" spans="1:93" ht="15.75" customHeight="1">
      <c r="A523" s="28"/>
      <c r="B523" s="196"/>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row>
    <row r="524" spans="1:93" ht="15.75" customHeight="1">
      <c r="A524" s="28"/>
      <c r="B524" s="196"/>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row>
    <row r="525" spans="1:93" ht="15.75" customHeight="1">
      <c r="A525" s="28"/>
      <c r="B525" s="196"/>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row>
    <row r="526" spans="1:93" ht="15.75" customHeight="1">
      <c r="A526" s="28"/>
      <c r="B526" s="196"/>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row>
    <row r="527" spans="1:93" ht="15.75" customHeight="1">
      <c r="A527" s="28"/>
      <c r="B527" s="196"/>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row>
    <row r="528" spans="1:93" ht="15.75" customHeight="1">
      <c r="A528" s="28"/>
      <c r="B528" s="196"/>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row>
    <row r="529" spans="1:93" ht="15.75" customHeight="1">
      <c r="A529" s="28"/>
      <c r="B529" s="196"/>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row>
    <row r="530" spans="1:93" ht="15.75" customHeight="1">
      <c r="A530" s="28"/>
      <c r="B530" s="196"/>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row>
    <row r="531" spans="1:93" ht="15.75" customHeight="1">
      <c r="A531" s="28"/>
      <c r="B531" s="196"/>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row>
    <row r="532" spans="1:93" ht="15.75" customHeight="1">
      <c r="A532" s="28"/>
      <c r="B532" s="196"/>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row>
    <row r="533" spans="1:93" ht="15.75" customHeight="1">
      <c r="A533" s="28"/>
      <c r="B533" s="196"/>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row>
    <row r="534" spans="1:93" ht="15.75" customHeight="1">
      <c r="A534" s="28"/>
      <c r="B534" s="196"/>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row>
    <row r="535" spans="1:93" ht="15.75" customHeight="1">
      <c r="A535" s="28"/>
      <c r="B535" s="196"/>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row>
    <row r="536" spans="1:93" ht="15.75" customHeight="1">
      <c r="A536" s="28"/>
      <c r="B536" s="196"/>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row>
    <row r="537" spans="1:93" ht="15.75" customHeight="1">
      <c r="A537" s="28"/>
      <c r="B537" s="196"/>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row>
    <row r="538" spans="1:93" ht="15.75" customHeight="1">
      <c r="A538" s="28"/>
      <c r="B538" s="196"/>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row>
    <row r="539" spans="1:93" ht="15.75" customHeight="1">
      <c r="A539" s="28"/>
      <c r="B539" s="196"/>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row>
    <row r="540" spans="1:93" ht="15.75" customHeight="1">
      <c r="A540" s="28"/>
      <c r="B540" s="196"/>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row>
    <row r="541" spans="1:93" ht="15.75" customHeight="1">
      <c r="A541" s="28"/>
      <c r="B541" s="196"/>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row>
    <row r="542" spans="1:93" ht="15.75" customHeight="1">
      <c r="A542" s="28"/>
      <c r="B542" s="196"/>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row>
    <row r="543" spans="1:93" ht="15.75" customHeight="1">
      <c r="A543" s="28"/>
      <c r="B543" s="196"/>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row>
    <row r="544" spans="1:93" ht="15.75" customHeight="1">
      <c r="A544" s="28"/>
      <c r="B544" s="196"/>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row>
    <row r="545" spans="1:93" ht="15.75" customHeight="1">
      <c r="A545" s="28"/>
      <c r="B545" s="196"/>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row>
    <row r="546" spans="1:93" ht="15.75" customHeight="1">
      <c r="A546" s="28"/>
      <c r="B546" s="196"/>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row>
    <row r="547" spans="1:93" ht="15.75" customHeight="1">
      <c r="A547" s="28"/>
      <c r="B547" s="196"/>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row>
    <row r="548" spans="1:93" ht="15.75" customHeight="1">
      <c r="A548" s="28"/>
      <c r="B548" s="196"/>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row>
    <row r="549" spans="1:93" ht="15.75" customHeight="1">
      <c r="A549" s="28"/>
      <c r="B549" s="196"/>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row>
    <row r="550" spans="1:93" ht="15.75" customHeight="1">
      <c r="A550" s="28"/>
      <c r="B550" s="196"/>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row>
    <row r="551" spans="1:93" ht="15.75" customHeight="1">
      <c r="A551" s="28"/>
      <c r="B551" s="196"/>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row>
    <row r="552" spans="1:93" ht="15.75" customHeight="1">
      <c r="A552" s="28"/>
      <c r="B552" s="196"/>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row>
    <row r="553" spans="1:93" ht="15.75" customHeight="1">
      <c r="A553" s="28"/>
      <c r="B553" s="196"/>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row>
    <row r="554" spans="1:93" ht="15.75" customHeight="1">
      <c r="A554" s="28"/>
      <c r="B554" s="196"/>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row>
    <row r="555" spans="1:93" ht="15.75" customHeight="1">
      <c r="A555" s="28"/>
      <c r="B555" s="196"/>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row>
    <row r="556" spans="1:93" ht="15.75" customHeight="1">
      <c r="A556" s="28"/>
      <c r="B556" s="196"/>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row>
    <row r="557" spans="1:93" ht="15.75" customHeight="1">
      <c r="A557" s="28"/>
      <c r="B557" s="196"/>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row>
    <row r="558" spans="1:93" ht="15.75" customHeight="1">
      <c r="A558" s="28"/>
      <c r="B558" s="196"/>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row>
    <row r="559" spans="1:93" ht="15.75" customHeight="1">
      <c r="A559" s="28"/>
      <c r="B559" s="196"/>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row>
    <row r="560" spans="1:93" ht="15.75" customHeight="1">
      <c r="A560" s="28"/>
      <c r="B560" s="196"/>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row>
    <row r="561" spans="1:93" ht="15.75" customHeight="1">
      <c r="A561" s="28"/>
      <c r="B561" s="196"/>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row>
    <row r="562" spans="1:93" ht="15.75" customHeight="1">
      <c r="A562" s="28"/>
      <c r="B562" s="196"/>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row>
    <row r="563" spans="1:93" ht="15.75" customHeight="1">
      <c r="A563" s="28"/>
      <c r="B563" s="196"/>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row>
    <row r="564" spans="1:93" ht="15.75" customHeight="1">
      <c r="A564" s="28"/>
      <c r="B564" s="196"/>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row>
    <row r="565" spans="1:93" ht="15.75" customHeight="1">
      <c r="A565" s="28"/>
      <c r="B565" s="196"/>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row>
    <row r="566" spans="1:93" ht="15.75" customHeight="1">
      <c r="A566" s="28"/>
      <c r="B566" s="196"/>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row>
    <row r="567" spans="1:93" ht="15.75" customHeight="1">
      <c r="A567" s="28"/>
      <c r="B567" s="196"/>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row>
    <row r="568" spans="1:93" ht="15.75" customHeight="1">
      <c r="A568" s="28"/>
      <c r="B568" s="196"/>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row>
    <row r="569" spans="1:93" ht="15.75" customHeight="1">
      <c r="A569" s="28"/>
      <c r="B569" s="196"/>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row>
    <row r="570" spans="1:93" ht="15.75" customHeight="1">
      <c r="A570" s="28"/>
      <c r="B570" s="196"/>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row>
    <row r="571" spans="1:93" ht="15.75" customHeight="1">
      <c r="A571" s="28"/>
      <c r="B571" s="196"/>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row>
    <row r="572" spans="1:93" ht="15.75" customHeight="1">
      <c r="A572" s="28"/>
      <c r="B572" s="196"/>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row>
    <row r="573" spans="1:93" ht="15.75" customHeight="1">
      <c r="A573" s="28"/>
      <c r="B573" s="196"/>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row>
    <row r="574" spans="1:93" ht="15.75" customHeight="1">
      <c r="A574" s="28"/>
      <c r="B574" s="196"/>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row>
    <row r="575" spans="1:93" ht="15.75" customHeight="1">
      <c r="A575" s="28"/>
      <c r="B575" s="196"/>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row>
    <row r="576" spans="1:93" ht="15.75" customHeight="1">
      <c r="A576" s="28"/>
      <c r="B576" s="196"/>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row>
    <row r="577" spans="1:93" ht="15.75" customHeight="1">
      <c r="A577" s="28"/>
      <c r="B577" s="196"/>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row>
    <row r="578" spans="1:93" ht="15.75" customHeight="1">
      <c r="A578" s="28"/>
      <c r="B578" s="196"/>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row>
    <row r="579" spans="1:93" ht="15.75" customHeight="1">
      <c r="A579" s="28"/>
      <c r="B579" s="196"/>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row>
    <row r="580" spans="1:93" ht="15.75" customHeight="1">
      <c r="A580" s="28"/>
      <c r="B580" s="196"/>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row>
    <row r="581" spans="1:93" ht="15.75" customHeight="1">
      <c r="A581" s="28"/>
      <c r="B581" s="196"/>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row>
    <row r="582" spans="1:93" ht="15.75" customHeight="1">
      <c r="A582" s="28"/>
      <c r="B582" s="196"/>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row>
    <row r="583" spans="1:93" ht="15.75" customHeight="1">
      <c r="A583" s="28"/>
      <c r="B583" s="196"/>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row>
    <row r="584" spans="1:93" ht="15.75" customHeight="1">
      <c r="A584" s="28"/>
      <c r="B584" s="196"/>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row>
    <row r="585" spans="1:93" ht="15.75" customHeight="1">
      <c r="A585" s="28"/>
      <c r="B585" s="196"/>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row>
    <row r="586" spans="1:93" ht="15.75" customHeight="1">
      <c r="A586" s="28"/>
      <c r="B586" s="196"/>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row>
    <row r="587" spans="1:93" ht="15.75" customHeight="1">
      <c r="A587" s="28"/>
      <c r="B587" s="196"/>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row>
    <row r="588" spans="1:93" ht="15.75" customHeight="1">
      <c r="A588" s="28"/>
      <c r="B588" s="196"/>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row>
    <row r="589" spans="1:93" ht="15.75" customHeight="1">
      <c r="A589" s="28"/>
      <c r="B589" s="196"/>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row>
    <row r="590" spans="1:93" ht="15.75" customHeight="1">
      <c r="A590" s="28"/>
      <c r="B590" s="196"/>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row>
    <row r="591" spans="1:93" ht="15.75" customHeight="1">
      <c r="A591" s="28"/>
      <c r="B591" s="196"/>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row>
    <row r="592" spans="1:93" ht="15.75" customHeight="1">
      <c r="A592" s="28"/>
      <c r="B592" s="196"/>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row>
    <row r="593" spans="1:93" ht="15.75" customHeight="1">
      <c r="A593" s="28"/>
      <c r="B593" s="196"/>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row>
    <row r="594" spans="1:93" ht="15.75" customHeight="1">
      <c r="A594" s="28"/>
      <c r="B594" s="196"/>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row>
    <row r="595" spans="1:93" ht="15.75" customHeight="1">
      <c r="A595" s="28"/>
      <c r="B595" s="196"/>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row>
    <row r="596" spans="1:93" ht="15.75" customHeight="1">
      <c r="A596" s="28"/>
      <c r="B596" s="196"/>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row>
    <row r="597" spans="1:93" ht="15.75" customHeight="1">
      <c r="A597" s="28"/>
      <c r="B597" s="196"/>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row>
    <row r="598" spans="1:93" ht="15.75" customHeight="1">
      <c r="A598" s="28"/>
      <c r="B598" s="196"/>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row>
    <row r="599" spans="1:93" ht="15.75" customHeight="1">
      <c r="A599" s="28"/>
      <c r="B599" s="196"/>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row>
    <row r="600" spans="1:93" ht="15.75" customHeight="1">
      <c r="A600" s="28"/>
      <c r="B600" s="196"/>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row>
    <row r="601" spans="1:93" ht="15.75" customHeight="1">
      <c r="A601" s="28"/>
      <c r="B601" s="196"/>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row>
    <row r="602" spans="1:93" ht="15.75" customHeight="1">
      <c r="A602" s="28"/>
      <c r="B602" s="196"/>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row>
    <row r="603" spans="1:93" ht="15.75" customHeight="1">
      <c r="A603" s="28"/>
      <c r="B603" s="196"/>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row>
    <row r="604" spans="1:93" ht="15.75" customHeight="1">
      <c r="A604" s="28"/>
      <c r="B604" s="196"/>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row>
    <row r="605" spans="1:93" ht="15.75" customHeight="1">
      <c r="A605" s="28"/>
      <c r="B605" s="196"/>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row>
    <row r="606" spans="1:93" ht="15.75" customHeight="1">
      <c r="A606" s="28"/>
      <c r="B606" s="196"/>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row>
    <row r="607" spans="1:93" ht="15.75" customHeight="1">
      <c r="A607" s="28"/>
      <c r="B607" s="196"/>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row>
    <row r="608" spans="1:93" ht="15.75" customHeight="1">
      <c r="A608" s="28"/>
      <c r="B608" s="196"/>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row>
    <row r="609" spans="1:93" ht="15.75" customHeight="1">
      <c r="A609" s="28"/>
      <c r="B609" s="196"/>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row>
    <row r="610" spans="1:93" ht="15.75" customHeight="1">
      <c r="A610" s="28"/>
      <c r="B610" s="196"/>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row>
    <row r="611" spans="1:93" ht="15.75" customHeight="1">
      <c r="A611" s="28"/>
      <c r="B611" s="196"/>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row>
    <row r="612" spans="1:93" ht="15.75" customHeight="1">
      <c r="A612" s="28"/>
      <c r="B612" s="196"/>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row>
    <row r="613" spans="1:93" ht="15.75" customHeight="1">
      <c r="A613" s="28"/>
      <c r="B613" s="196"/>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row>
    <row r="614" spans="1:93" ht="15.75" customHeight="1">
      <c r="A614" s="28"/>
      <c r="B614" s="196"/>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row>
    <row r="615" spans="1:93" ht="15.75" customHeight="1">
      <c r="A615" s="28"/>
      <c r="B615" s="196"/>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row>
    <row r="616" spans="1:93" ht="15.75" customHeight="1">
      <c r="A616" s="28"/>
      <c r="B616" s="196"/>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row>
    <row r="617" spans="1:93" ht="15.75" customHeight="1">
      <c r="A617" s="28"/>
      <c r="B617" s="196"/>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row>
    <row r="618" spans="1:93" ht="15.75" customHeight="1">
      <c r="A618" s="28"/>
      <c r="B618" s="196"/>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row>
    <row r="619" spans="1:93" ht="15.75" customHeight="1">
      <c r="A619" s="28"/>
      <c r="B619" s="196"/>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row>
    <row r="620" spans="1:93" ht="15.75" customHeight="1">
      <c r="A620" s="28"/>
      <c r="B620" s="196"/>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row>
    <row r="621" spans="1:93" ht="15.75" customHeight="1">
      <c r="A621" s="28"/>
      <c r="B621" s="196"/>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row>
    <row r="622" spans="1:93" ht="15.75" customHeight="1">
      <c r="A622" s="28"/>
      <c r="B622" s="196"/>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row>
    <row r="623" spans="1:93" ht="15.75" customHeight="1">
      <c r="A623" s="28"/>
      <c r="B623" s="196"/>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row>
    <row r="624" spans="1:93" ht="15.75" customHeight="1">
      <c r="A624" s="28"/>
      <c r="B624" s="196"/>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row>
    <row r="625" spans="1:93" ht="15.75" customHeight="1">
      <c r="A625" s="28"/>
      <c r="B625" s="196"/>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row>
    <row r="626" spans="1:93" ht="15.75" customHeight="1">
      <c r="A626" s="28"/>
      <c r="B626" s="196"/>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row>
    <row r="627" spans="1:93" ht="15.75" customHeight="1">
      <c r="A627" s="28"/>
      <c r="B627" s="196"/>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row>
    <row r="628" spans="1:93" ht="15.75" customHeight="1">
      <c r="A628" s="28"/>
      <c r="B628" s="196"/>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row>
    <row r="629" spans="1:93" ht="15.75" customHeight="1">
      <c r="A629" s="28"/>
      <c r="B629" s="196"/>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row>
    <row r="630" spans="1:93" ht="15.75" customHeight="1">
      <c r="A630" s="28"/>
      <c r="B630" s="196"/>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row>
    <row r="631" spans="1:93" ht="15.75" customHeight="1">
      <c r="A631" s="28"/>
      <c r="B631" s="196"/>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row>
    <row r="632" spans="1:93" ht="15.75" customHeight="1">
      <c r="A632" s="28"/>
      <c r="B632" s="196"/>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row>
    <row r="633" spans="1:93" ht="15.75" customHeight="1">
      <c r="A633" s="28"/>
      <c r="B633" s="196"/>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row>
    <row r="634" spans="1:93" ht="15.75" customHeight="1">
      <c r="A634" s="28"/>
      <c r="B634" s="196"/>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row>
    <row r="635" spans="1:93" ht="15.75" customHeight="1">
      <c r="A635" s="28"/>
      <c r="B635" s="196"/>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row>
    <row r="636" spans="1:93" ht="15.75" customHeight="1">
      <c r="A636" s="28"/>
      <c r="B636" s="196"/>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row>
    <row r="637" spans="1:93" ht="15.75" customHeight="1">
      <c r="A637" s="28"/>
      <c r="B637" s="196"/>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row>
    <row r="638" spans="1:93" ht="15.75" customHeight="1">
      <c r="A638" s="28"/>
      <c r="B638" s="196"/>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row>
    <row r="639" spans="1:93" ht="15.75" customHeight="1">
      <c r="A639" s="28"/>
      <c r="B639" s="196"/>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row>
    <row r="640" spans="1:93" ht="15.75" customHeight="1">
      <c r="A640" s="28"/>
      <c r="B640" s="196"/>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row>
    <row r="641" spans="1:93" ht="15.75" customHeight="1">
      <c r="A641" s="28"/>
      <c r="B641" s="196"/>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row>
    <row r="642" spans="1:93" ht="15.75" customHeight="1">
      <c r="A642" s="28"/>
      <c r="B642" s="196"/>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row>
    <row r="643" spans="1:93" ht="15.75" customHeight="1">
      <c r="A643" s="28"/>
      <c r="B643" s="196"/>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row>
    <row r="644" spans="1:93" ht="15.75" customHeight="1">
      <c r="A644" s="28"/>
      <c r="B644" s="196"/>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row>
    <row r="645" spans="1:93" ht="15.75" customHeight="1">
      <c r="A645" s="28"/>
      <c r="B645" s="196"/>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row>
    <row r="646" spans="1:93" ht="15.75" customHeight="1">
      <c r="A646" s="28"/>
      <c r="B646" s="196"/>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row>
    <row r="647" spans="1:93" ht="15.75" customHeight="1">
      <c r="A647" s="28"/>
      <c r="B647" s="196"/>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row>
    <row r="648" spans="1:93" ht="15.75" customHeight="1">
      <c r="A648" s="28"/>
      <c r="B648" s="196"/>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row>
    <row r="649" spans="1:93" ht="15.75" customHeight="1">
      <c r="A649" s="28"/>
      <c r="B649" s="196"/>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row>
    <row r="650" spans="1:93" ht="15.75" customHeight="1">
      <c r="A650" s="28"/>
      <c r="B650" s="196"/>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row>
    <row r="651" spans="1:93" ht="15.75" customHeight="1">
      <c r="A651" s="28"/>
      <c r="B651" s="196"/>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row>
    <row r="652" spans="1:93" ht="15.75" customHeight="1">
      <c r="A652" s="28"/>
      <c r="B652" s="196"/>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row>
    <row r="653" spans="1:93" ht="15.75" customHeight="1">
      <c r="A653" s="28"/>
      <c r="B653" s="196"/>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row>
    <row r="654" spans="1:93" ht="15.75" customHeight="1">
      <c r="A654" s="28"/>
      <c r="B654" s="196"/>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row>
    <row r="655" spans="1:93" ht="15.75" customHeight="1">
      <c r="A655" s="28"/>
      <c r="B655" s="196"/>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row>
    <row r="656" spans="1:93" ht="15.75" customHeight="1">
      <c r="A656" s="28"/>
      <c r="B656" s="196"/>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row>
    <row r="657" spans="1:93" ht="15.75" customHeight="1">
      <c r="A657" s="28"/>
      <c r="B657" s="196"/>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row>
    <row r="658" spans="1:93" ht="15.75" customHeight="1">
      <c r="A658" s="28"/>
      <c r="B658" s="196"/>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row>
    <row r="659" spans="1:93" ht="15.75" customHeight="1">
      <c r="A659" s="28"/>
      <c r="B659" s="196"/>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row>
    <row r="660" spans="1:93" ht="15.75" customHeight="1">
      <c r="A660" s="28"/>
      <c r="B660" s="196"/>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row>
    <row r="661" spans="1:93" ht="15.75" customHeight="1">
      <c r="A661" s="28"/>
      <c r="B661" s="196"/>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row>
    <row r="662" spans="1:93" ht="15.75" customHeight="1">
      <c r="A662" s="28"/>
      <c r="B662" s="196"/>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row>
    <row r="663" spans="1:93" ht="15.75" customHeight="1">
      <c r="A663" s="28"/>
      <c r="B663" s="196"/>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row>
    <row r="664" spans="1:93" ht="15.75" customHeight="1">
      <c r="A664" s="28"/>
      <c r="B664" s="196"/>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row>
    <row r="665" spans="1:93" ht="15.75" customHeight="1">
      <c r="A665" s="28"/>
      <c r="B665" s="196"/>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row>
    <row r="666" spans="1:93" ht="15.75" customHeight="1">
      <c r="A666" s="28"/>
      <c r="B666" s="196"/>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row>
    <row r="667" spans="1:93" ht="15.75" customHeight="1">
      <c r="A667" s="28"/>
      <c r="B667" s="196"/>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row>
    <row r="668" spans="1:93" ht="15.75" customHeight="1">
      <c r="A668" s="28"/>
      <c r="B668" s="196"/>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row>
    <row r="669" spans="1:93" ht="15.75" customHeight="1">
      <c r="A669" s="28"/>
      <c r="B669" s="196"/>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row>
    <row r="670" spans="1:93" ht="15.75" customHeight="1">
      <c r="A670" s="28"/>
      <c r="B670" s="196"/>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row>
    <row r="671" spans="1:93" ht="15.75" customHeight="1">
      <c r="A671" s="28"/>
      <c r="B671" s="196"/>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row>
    <row r="672" spans="1:93" ht="15.75" customHeight="1">
      <c r="A672" s="28"/>
      <c r="B672" s="196"/>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row>
    <row r="673" spans="1:93" ht="15.75" customHeight="1">
      <c r="A673" s="28"/>
      <c r="B673" s="196"/>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row>
    <row r="674" spans="1:93" ht="15.75" customHeight="1">
      <c r="A674" s="28"/>
      <c r="B674" s="196"/>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row>
    <row r="675" spans="1:93" ht="15.75" customHeight="1">
      <c r="A675" s="28"/>
      <c r="B675" s="196"/>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row>
    <row r="676" spans="1:93" ht="15.75" customHeight="1">
      <c r="A676" s="28"/>
      <c r="B676" s="196"/>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row>
    <row r="677" spans="1:93" ht="15.75" customHeight="1">
      <c r="A677" s="28"/>
      <c r="B677" s="196"/>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row>
    <row r="678" spans="1:93" ht="15.75" customHeight="1">
      <c r="A678" s="28"/>
      <c r="B678" s="196"/>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row>
    <row r="679" spans="1:93" ht="15.75" customHeight="1">
      <c r="A679" s="28"/>
      <c r="B679" s="196"/>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row>
    <row r="680" spans="1:93" ht="15.75" customHeight="1">
      <c r="A680" s="28"/>
      <c r="B680" s="196"/>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row>
    <row r="681" spans="1:93" ht="15.75" customHeight="1">
      <c r="A681" s="28"/>
      <c r="B681" s="196"/>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row>
    <row r="682" spans="1:93" ht="15.75" customHeight="1">
      <c r="A682" s="28"/>
      <c r="B682" s="196"/>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row>
    <row r="683" spans="1:93" ht="15.75" customHeight="1">
      <c r="A683" s="28"/>
      <c r="B683" s="196"/>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row>
    <row r="684" spans="1:93" ht="15.75" customHeight="1">
      <c r="A684" s="28"/>
      <c r="B684" s="196"/>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row>
    <row r="685" spans="1:93" ht="15.75" customHeight="1">
      <c r="A685" s="28"/>
      <c r="B685" s="196"/>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row>
    <row r="686" spans="1:93" ht="15.75" customHeight="1">
      <c r="A686" s="28"/>
      <c r="B686" s="196"/>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row>
    <row r="687" spans="1:93" ht="15.75" customHeight="1">
      <c r="A687" s="28"/>
      <c r="B687" s="196"/>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row>
    <row r="688" spans="1:93" ht="15.75" customHeight="1">
      <c r="A688" s="28"/>
      <c r="B688" s="196"/>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row>
    <row r="689" spans="1:93" ht="15.75" customHeight="1">
      <c r="A689" s="28"/>
      <c r="B689" s="196"/>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row>
    <row r="690" spans="1:93" ht="15.75" customHeight="1">
      <c r="A690" s="28"/>
      <c r="B690" s="196"/>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row>
    <row r="691" spans="1:93" ht="15.75" customHeight="1">
      <c r="A691" s="28"/>
      <c r="B691" s="196"/>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row>
    <row r="692" spans="1:93" ht="15.75" customHeight="1">
      <c r="A692" s="28"/>
      <c r="B692" s="196"/>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row>
    <row r="693" spans="1:93" ht="15.75" customHeight="1">
      <c r="A693" s="28"/>
      <c r="B693" s="196"/>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row>
    <row r="694" spans="1:93" ht="15.75" customHeight="1">
      <c r="A694" s="28"/>
      <c r="B694" s="196"/>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row>
    <row r="695" spans="1:93" ht="15.75" customHeight="1">
      <c r="A695" s="28"/>
      <c r="B695" s="196"/>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row>
    <row r="696" spans="1:93" ht="15.75" customHeight="1">
      <c r="A696" s="28"/>
      <c r="B696" s="196"/>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row>
    <row r="697" spans="1:93" ht="15.75" customHeight="1">
      <c r="A697" s="28"/>
      <c r="B697" s="196"/>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row>
    <row r="698" spans="1:93" ht="15.75" customHeight="1">
      <c r="A698" s="28"/>
      <c r="B698" s="196"/>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row>
    <row r="699" spans="1:93" ht="15.75" customHeight="1">
      <c r="A699" s="28"/>
      <c r="B699" s="196"/>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row>
    <row r="700" spans="1:93" ht="15.75" customHeight="1">
      <c r="A700" s="28"/>
      <c r="B700" s="196"/>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row>
    <row r="701" spans="1:93" ht="15.75" customHeight="1">
      <c r="A701" s="28"/>
      <c r="B701" s="196"/>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row>
    <row r="702" spans="1:93" ht="15.75" customHeight="1">
      <c r="A702" s="28"/>
      <c r="B702" s="196"/>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row>
    <row r="703" spans="1:93" ht="15.75" customHeight="1">
      <c r="A703" s="28"/>
      <c r="B703" s="196"/>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row>
    <row r="704" spans="1:93" ht="15.75" customHeight="1">
      <c r="A704" s="28"/>
      <c r="B704" s="196"/>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row>
    <row r="705" spans="1:93" ht="15.75" customHeight="1">
      <c r="A705" s="28"/>
      <c r="B705" s="196"/>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row>
    <row r="706" spans="1:93" ht="15.75" customHeight="1">
      <c r="A706" s="28"/>
      <c r="B706" s="196"/>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row>
    <row r="707" spans="1:93" ht="15.75" customHeight="1">
      <c r="A707" s="28"/>
      <c r="B707" s="196"/>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row>
    <row r="708" spans="1:93" ht="15.75" customHeight="1">
      <c r="A708" s="28"/>
      <c r="B708" s="196"/>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row>
    <row r="709" spans="1:93" ht="15.75" customHeight="1">
      <c r="A709" s="28"/>
      <c r="B709" s="196"/>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row>
    <row r="710" spans="1:93" ht="15.75" customHeight="1">
      <c r="A710" s="28"/>
      <c r="B710" s="196"/>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row>
    <row r="711" spans="1:93" ht="15.75" customHeight="1">
      <c r="A711" s="28"/>
      <c r="B711" s="196"/>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row>
    <row r="712" spans="1:93" ht="15.75" customHeight="1">
      <c r="A712" s="28"/>
      <c r="B712" s="196"/>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row>
    <row r="713" spans="1:93" ht="15.75" customHeight="1">
      <c r="A713" s="28"/>
      <c r="B713" s="196"/>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row>
    <row r="714" spans="1:93" ht="15.75" customHeight="1">
      <c r="A714" s="28"/>
      <c r="B714" s="196"/>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row>
    <row r="715" spans="1:93" ht="15.75" customHeight="1">
      <c r="A715" s="28"/>
      <c r="B715" s="196"/>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row>
    <row r="716" spans="1:93" ht="15.75" customHeight="1">
      <c r="A716" s="28"/>
      <c r="B716" s="196"/>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row>
    <row r="717" spans="1:93" ht="15.75" customHeight="1">
      <c r="A717" s="28"/>
      <c r="B717" s="196"/>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row>
    <row r="718" spans="1:93" ht="15.75" customHeight="1">
      <c r="A718" s="28"/>
      <c r="B718" s="196"/>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row>
    <row r="719" spans="1:93" ht="15.75" customHeight="1">
      <c r="A719" s="28"/>
      <c r="B719" s="196"/>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row>
    <row r="720" spans="1:93" ht="15.75" customHeight="1">
      <c r="A720" s="28"/>
      <c r="B720" s="196"/>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row>
    <row r="721" spans="1:93" ht="15.75" customHeight="1">
      <c r="A721" s="28"/>
      <c r="B721" s="196"/>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row>
    <row r="722" spans="1:93" ht="15.75" customHeight="1">
      <c r="A722" s="28"/>
      <c r="B722" s="196"/>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row>
    <row r="723" spans="1:93" ht="15.75" customHeight="1">
      <c r="A723" s="28"/>
      <c r="B723" s="196"/>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row>
    <row r="724" spans="1:93" ht="15.75" customHeight="1">
      <c r="A724" s="28"/>
      <c r="B724" s="196"/>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row>
    <row r="725" spans="1:93" ht="15.75" customHeight="1">
      <c r="A725" s="28"/>
      <c r="B725" s="196"/>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row>
    <row r="726" spans="1:93" ht="15.75" customHeight="1">
      <c r="A726" s="28"/>
      <c r="B726" s="196"/>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row>
    <row r="727" spans="1:93" ht="15.75" customHeight="1">
      <c r="A727" s="28"/>
      <c r="B727" s="196"/>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row>
    <row r="728" spans="1:93" ht="15.75" customHeight="1">
      <c r="A728" s="28"/>
      <c r="B728" s="196"/>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row>
    <row r="729" spans="1:93" ht="15.75" customHeight="1">
      <c r="A729" s="28"/>
      <c r="B729" s="196"/>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row>
    <row r="730" spans="1:93" ht="15.75" customHeight="1">
      <c r="A730" s="28"/>
      <c r="B730" s="196"/>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row>
    <row r="731" spans="1:93" ht="15.75" customHeight="1">
      <c r="A731" s="28"/>
      <c r="B731" s="196"/>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row>
    <row r="732" spans="1:93" ht="15.75" customHeight="1">
      <c r="A732" s="28"/>
      <c r="B732" s="196"/>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row>
    <row r="733" spans="1:93" ht="15.75" customHeight="1">
      <c r="A733" s="28"/>
      <c r="B733" s="196"/>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row>
    <row r="734" spans="1:93" ht="15.75" customHeight="1">
      <c r="A734" s="28"/>
      <c r="B734" s="196"/>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row>
    <row r="735" spans="1:93" ht="15.75" customHeight="1">
      <c r="A735" s="28"/>
      <c r="B735" s="196"/>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row>
    <row r="736" spans="1:93" ht="15.75" customHeight="1">
      <c r="A736" s="28"/>
      <c r="B736" s="196"/>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row>
    <row r="737" spans="1:93" ht="15.75" customHeight="1">
      <c r="A737" s="28"/>
      <c r="B737" s="196"/>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row>
    <row r="738" spans="1:93" ht="15.75" customHeight="1">
      <c r="A738" s="28"/>
      <c r="B738" s="196"/>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row>
    <row r="739" spans="1:93" ht="15.75" customHeight="1">
      <c r="A739" s="28"/>
      <c r="B739" s="196"/>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row>
    <row r="740" spans="1:93" ht="15.75" customHeight="1">
      <c r="A740" s="28"/>
      <c r="B740" s="196"/>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row>
    <row r="741" spans="1:93" ht="15.75" customHeight="1">
      <c r="A741" s="28"/>
      <c r="B741" s="196"/>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row>
    <row r="742" spans="1:93" ht="15.75" customHeight="1">
      <c r="A742" s="28"/>
      <c r="B742" s="196"/>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row>
    <row r="743" spans="1:93" ht="15.75" customHeight="1">
      <c r="A743" s="28"/>
      <c r="B743" s="196"/>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row>
    <row r="744" spans="1:93" ht="15.75" customHeight="1">
      <c r="A744" s="28"/>
      <c r="B744" s="196"/>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row>
    <row r="745" spans="1:93" ht="15.75" customHeight="1">
      <c r="A745" s="28"/>
      <c r="B745" s="196"/>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row>
    <row r="746" spans="1:93" ht="15.75" customHeight="1">
      <c r="A746" s="28"/>
      <c r="B746" s="196"/>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row>
    <row r="747" spans="1:93" ht="15.75" customHeight="1">
      <c r="A747" s="28"/>
      <c r="B747" s="196"/>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row>
    <row r="748" spans="1:93" ht="15.75" customHeight="1">
      <c r="A748" s="28"/>
      <c r="B748" s="196"/>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row>
    <row r="749" spans="1:93" ht="15.75" customHeight="1">
      <c r="A749" s="28"/>
      <c r="B749" s="196"/>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row>
    <row r="750" spans="1:93" ht="15.75" customHeight="1">
      <c r="A750" s="28"/>
      <c r="B750" s="196"/>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row>
    <row r="751" spans="1:93" ht="15.75" customHeight="1">
      <c r="A751" s="28"/>
      <c r="B751" s="196"/>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row>
    <row r="752" spans="1:93" ht="15.75" customHeight="1">
      <c r="A752" s="28"/>
      <c r="B752" s="196"/>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row>
    <row r="753" spans="1:93" ht="15.75" customHeight="1">
      <c r="A753" s="28"/>
      <c r="B753" s="196"/>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row>
    <row r="754" spans="1:93" ht="15.75" customHeight="1">
      <c r="A754" s="28"/>
      <c r="B754" s="196"/>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row>
    <row r="755" spans="1:93" ht="15.75" customHeight="1">
      <c r="A755" s="28"/>
      <c r="B755" s="196"/>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row>
    <row r="756" spans="1:93" ht="15.75" customHeight="1">
      <c r="A756" s="28"/>
      <c r="B756" s="196"/>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row>
    <row r="757" spans="1:93" ht="15.75" customHeight="1">
      <c r="A757" s="28"/>
      <c r="B757" s="196"/>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row>
    <row r="758" spans="1:93" ht="15.75" customHeight="1">
      <c r="A758" s="28"/>
      <c r="B758" s="196"/>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row>
    <row r="759" spans="1:93" ht="15.75" customHeight="1">
      <c r="A759" s="28"/>
      <c r="B759" s="196"/>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row>
    <row r="760" spans="1:93" ht="15.75" customHeight="1">
      <c r="A760" s="28"/>
      <c r="B760" s="196"/>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row>
    <row r="761" spans="1:93" ht="15.75" customHeight="1">
      <c r="A761" s="28"/>
      <c r="B761" s="196"/>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row>
    <row r="762" spans="1:93" ht="15.75" customHeight="1">
      <c r="A762" s="28"/>
      <c r="B762" s="196"/>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row>
    <row r="763" spans="1:93" ht="15.75" customHeight="1">
      <c r="A763" s="28"/>
      <c r="B763" s="196"/>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row>
    <row r="764" spans="1:93" ht="15.75" customHeight="1">
      <c r="A764" s="28"/>
      <c r="B764" s="196"/>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row>
    <row r="765" spans="1:93" ht="15.75" customHeight="1">
      <c r="A765" s="28"/>
      <c r="B765" s="196"/>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row>
    <row r="766" spans="1:93" ht="15.75" customHeight="1">
      <c r="A766" s="28"/>
      <c r="B766" s="196"/>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row>
    <row r="767" spans="1:93" ht="15.75" customHeight="1">
      <c r="A767" s="28"/>
      <c r="B767" s="196"/>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row>
    <row r="768" spans="1:93" ht="15.75" customHeight="1">
      <c r="A768" s="28"/>
      <c r="B768" s="196"/>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row>
    <row r="769" spans="1:93" ht="15.75" customHeight="1">
      <c r="A769" s="28"/>
      <c r="B769" s="196"/>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row>
    <row r="770" spans="1:93" ht="15.75" customHeight="1">
      <c r="A770" s="28"/>
      <c r="B770" s="196"/>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row>
    <row r="771" spans="1:93" ht="15.75" customHeight="1">
      <c r="A771" s="28"/>
      <c r="B771" s="196"/>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row>
    <row r="772" spans="1:93" ht="15.75" customHeight="1">
      <c r="A772" s="28"/>
      <c r="B772" s="196"/>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row>
    <row r="773" spans="1:93" ht="15.75" customHeight="1">
      <c r="A773" s="28"/>
      <c r="B773" s="196"/>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row>
    <row r="774" spans="1:93" ht="15.75" customHeight="1">
      <c r="A774" s="28"/>
      <c r="B774" s="196"/>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row>
    <row r="775" spans="1:93" ht="15.75" customHeight="1">
      <c r="A775" s="28"/>
      <c r="B775" s="196"/>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row>
    <row r="776" spans="1:93" ht="15.75" customHeight="1">
      <c r="A776" s="28"/>
      <c r="B776" s="196"/>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row>
    <row r="777" spans="1:93" ht="15.75" customHeight="1">
      <c r="A777" s="28"/>
      <c r="B777" s="196"/>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row>
    <row r="778" spans="1:93" ht="15.75" customHeight="1">
      <c r="A778" s="28"/>
      <c r="B778" s="196"/>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row>
    <row r="779" spans="1:93" ht="15.75" customHeight="1">
      <c r="A779" s="28"/>
      <c r="B779" s="196"/>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row>
    <row r="780" spans="1:93" ht="15.75" customHeight="1">
      <c r="A780" s="28"/>
      <c r="B780" s="196"/>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row>
    <row r="781" spans="1:93" ht="15.75" customHeight="1">
      <c r="A781" s="28"/>
      <c r="B781" s="196"/>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row>
    <row r="782" spans="1:93" ht="15.75" customHeight="1">
      <c r="A782" s="28"/>
      <c r="B782" s="196"/>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row>
    <row r="783" spans="1:93" ht="15.75" customHeight="1">
      <c r="A783" s="28"/>
      <c r="B783" s="196"/>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row>
    <row r="784" spans="1:93" ht="15.75" customHeight="1">
      <c r="A784" s="28"/>
      <c r="B784" s="196"/>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row>
    <row r="785" spans="1:93" ht="15.75" customHeight="1">
      <c r="A785" s="28"/>
      <c r="B785" s="196"/>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row>
    <row r="786" spans="1:93" ht="15.75" customHeight="1">
      <c r="A786" s="28"/>
      <c r="B786" s="196"/>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row>
    <row r="787" spans="1:93" ht="15.75" customHeight="1">
      <c r="A787" s="28"/>
      <c r="B787" s="196"/>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row>
    <row r="788" spans="1:93" ht="15.75" customHeight="1">
      <c r="A788" s="28"/>
      <c r="B788" s="196"/>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row>
    <row r="789" spans="1:93" ht="15.75" customHeight="1">
      <c r="A789" s="28"/>
      <c r="B789" s="196"/>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row>
    <row r="790" spans="1:93" ht="15.75" customHeight="1">
      <c r="A790" s="28"/>
      <c r="B790" s="196"/>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row>
    <row r="791" spans="1:93" ht="15.75" customHeight="1">
      <c r="A791" s="28"/>
      <c r="B791" s="196"/>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row>
    <row r="792" spans="1:93" ht="15.75" customHeight="1">
      <c r="A792" s="28"/>
      <c r="B792" s="196"/>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row>
    <row r="793" spans="1:93" ht="15.75" customHeight="1">
      <c r="A793" s="28"/>
      <c r="B793" s="196"/>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row>
    <row r="794" spans="1:93" ht="15.75" customHeight="1">
      <c r="A794" s="28"/>
      <c r="B794" s="196"/>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row>
    <row r="795" spans="1:93" ht="15.75" customHeight="1">
      <c r="A795" s="28"/>
      <c r="B795" s="196"/>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row>
    <row r="796" spans="1:93" ht="15.75" customHeight="1">
      <c r="A796" s="28"/>
      <c r="B796" s="196"/>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row>
    <row r="797" spans="1:93" ht="15.75" customHeight="1">
      <c r="A797" s="28"/>
      <c r="B797" s="196"/>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row>
    <row r="798" spans="1:93" ht="15.75" customHeight="1">
      <c r="A798" s="28"/>
      <c r="B798" s="196"/>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row>
    <row r="799" spans="1:93" ht="15.75" customHeight="1">
      <c r="A799" s="28"/>
      <c r="B799" s="196"/>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row>
    <row r="800" spans="1:93" ht="15.75" customHeight="1">
      <c r="A800" s="28"/>
      <c r="B800" s="196"/>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row>
    <row r="801" spans="1:93" ht="15.75" customHeight="1">
      <c r="A801" s="28"/>
      <c r="B801" s="196"/>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row>
    <row r="802" spans="1:93" ht="15.75" customHeight="1">
      <c r="A802" s="28"/>
      <c r="B802" s="196"/>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row>
    <row r="803" spans="1:93" ht="15.75" customHeight="1">
      <c r="A803" s="28"/>
      <c r="B803" s="196"/>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row>
    <row r="804" spans="1:93" ht="15.75" customHeight="1">
      <c r="A804" s="28"/>
      <c r="B804" s="196"/>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row>
    <row r="805" spans="1:93" ht="15.75" customHeight="1">
      <c r="A805" s="28"/>
      <c r="B805" s="196"/>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row>
    <row r="806" spans="1:93" ht="15.75" customHeight="1">
      <c r="A806" s="28"/>
      <c r="B806" s="196"/>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row>
    <row r="807" spans="1:93" ht="15.75" customHeight="1">
      <c r="A807" s="28"/>
      <c r="B807" s="196"/>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row>
    <row r="808" spans="1:93" ht="15.75" customHeight="1">
      <c r="A808" s="28"/>
      <c r="B808" s="196"/>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row>
    <row r="809" spans="1:93" ht="15.75" customHeight="1">
      <c r="A809" s="28"/>
      <c r="B809" s="196"/>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row>
    <row r="810" spans="1:93" ht="15.75" customHeight="1">
      <c r="A810" s="28"/>
      <c r="B810" s="196"/>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row>
    <row r="811" spans="1:93" ht="15.75" customHeight="1">
      <c r="A811" s="28"/>
      <c r="B811" s="196"/>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row>
    <row r="812" spans="1:93" ht="15.75" customHeight="1">
      <c r="A812" s="28"/>
      <c r="B812" s="196"/>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row>
    <row r="813" spans="1:93" ht="15.75" customHeight="1">
      <c r="A813" s="28"/>
      <c r="B813" s="196"/>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row>
    <row r="814" spans="1:93" ht="15.75" customHeight="1">
      <c r="A814" s="28"/>
      <c r="B814" s="196"/>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row>
    <row r="815" spans="1:93" ht="15.75" customHeight="1">
      <c r="A815" s="28"/>
      <c r="B815" s="196"/>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row>
    <row r="816" spans="1:93" ht="15.75" customHeight="1">
      <c r="A816" s="28"/>
      <c r="B816" s="196"/>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row>
    <row r="817" spans="1:93" ht="15.75" customHeight="1">
      <c r="A817" s="28"/>
      <c r="B817" s="196"/>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row>
    <row r="818" spans="1:93" ht="15.75" customHeight="1">
      <c r="A818" s="28"/>
      <c r="B818" s="196"/>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row>
    <row r="819" spans="1:93" ht="15.75" customHeight="1">
      <c r="A819" s="28"/>
      <c r="B819" s="196"/>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row>
    <row r="820" spans="1:93" ht="15.75" customHeight="1">
      <c r="A820" s="28"/>
      <c r="B820" s="196"/>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row>
    <row r="821" spans="1:93" ht="15.75" customHeight="1">
      <c r="A821" s="28"/>
      <c r="B821" s="196"/>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row>
    <row r="822" spans="1:93" ht="15.75" customHeight="1">
      <c r="A822" s="28"/>
      <c r="B822" s="196"/>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row>
    <row r="823" spans="1:93" ht="15.75" customHeight="1">
      <c r="A823" s="28"/>
      <c r="B823" s="196"/>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row>
    <row r="824" spans="1:93" ht="15.75" customHeight="1">
      <c r="A824" s="28"/>
      <c r="B824" s="196"/>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row>
    <row r="825" spans="1:93" ht="15.75" customHeight="1">
      <c r="A825" s="28"/>
      <c r="B825" s="196"/>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row>
    <row r="826" spans="1:93" ht="15.75" customHeight="1">
      <c r="A826" s="28"/>
      <c r="B826" s="196"/>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row>
    <row r="827" spans="1:93" ht="15.75" customHeight="1">
      <c r="A827" s="28"/>
      <c r="B827" s="196"/>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row>
    <row r="828" spans="1:93" ht="15.75" customHeight="1">
      <c r="A828" s="28"/>
      <c r="B828" s="196"/>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row>
    <row r="829" spans="1:93" ht="15.75" customHeight="1">
      <c r="A829" s="28"/>
      <c r="B829" s="196"/>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row>
    <row r="830" spans="1:93" ht="15.75" customHeight="1">
      <c r="A830" s="28"/>
      <c r="B830" s="196"/>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row>
    <row r="831" spans="1:93" ht="15.75" customHeight="1">
      <c r="A831" s="28"/>
      <c r="B831" s="196"/>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row>
    <row r="832" spans="1:93" ht="15.75" customHeight="1">
      <c r="A832" s="28"/>
      <c r="B832" s="196"/>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row>
    <row r="833" spans="1:93" ht="15.75" customHeight="1">
      <c r="A833" s="28"/>
      <c r="B833" s="196"/>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row>
    <row r="834" spans="1:93" ht="15.75" customHeight="1">
      <c r="A834" s="28"/>
      <c r="B834" s="196"/>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row>
    <row r="835" spans="1:93" ht="15.75" customHeight="1">
      <c r="A835" s="28"/>
      <c r="B835" s="196"/>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row>
    <row r="836" spans="1:93" ht="15.75" customHeight="1">
      <c r="A836" s="28"/>
      <c r="B836" s="196"/>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row>
    <row r="837" spans="1:93" ht="15.75" customHeight="1">
      <c r="A837" s="28"/>
      <c r="B837" s="196"/>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row>
    <row r="838" spans="1:93" ht="15.75" customHeight="1">
      <c r="A838" s="28"/>
      <c r="B838" s="196"/>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row>
    <row r="839" spans="1:93" ht="15.75" customHeight="1">
      <c r="A839" s="28"/>
      <c r="B839" s="196"/>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row>
    <row r="840" spans="1:93" ht="15.75" customHeight="1">
      <c r="A840" s="28"/>
      <c r="B840" s="196"/>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row>
    <row r="841" spans="1:93" ht="15.75" customHeight="1">
      <c r="A841" s="28"/>
      <c r="B841" s="196"/>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row>
    <row r="842" spans="1:93" ht="15.75" customHeight="1">
      <c r="A842" s="28"/>
      <c r="B842" s="196"/>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row>
    <row r="843" spans="1:93" ht="15.75" customHeight="1">
      <c r="A843" s="28"/>
      <c r="B843" s="196"/>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row>
    <row r="844" spans="1:93" ht="15.75" customHeight="1">
      <c r="A844" s="28"/>
      <c r="B844" s="196"/>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row>
    <row r="845" spans="1:93" ht="15.75" customHeight="1">
      <c r="A845" s="28"/>
      <c r="B845" s="196"/>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row>
    <row r="846" spans="1:93" ht="15.75" customHeight="1">
      <c r="A846" s="28"/>
      <c r="B846" s="196"/>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row>
    <row r="847" spans="1:93" ht="15.75" customHeight="1">
      <c r="A847" s="28"/>
      <c r="B847" s="196"/>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row>
    <row r="848" spans="1:93" ht="15.75" customHeight="1">
      <c r="A848" s="28"/>
      <c r="B848" s="196"/>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row>
    <row r="849" spans="1:93" ht="15.75" customHeight="1">
      <c r="A849" s="28"/>
      <c r="B849" s="196"/>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row>
    <row r="850" spans="1:93" ht="15.75" customHeight="1">
      <c r="A850" s="28"/>
      <c r="B850" s="196"/>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row>
    <row r="851" spans="1:93" ht="15.75" customHeight="1">
      <c r="A851" s="28"/>
      <c r="B851" s="196"/>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row>
    <row r="852" spans="1:93" ht="15.75" customHeight="1">
      <c r="A852" s="28"/>
      <c r="B852" s="196"/>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row>
    <row r="853" spans="1:93" ht="15.75" customHeight="1">
      <c r="A853" s="28"/>
      <c r="B853" s="196"/>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row>
    <row r="854" spans="1:93" ht="15.75" customHeight="1">
      <c r="A854" s="28"/>
      <c r="B854" s="196"/>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row>
    <row r="855" spans="1:93" ht="15.75" customHeight="1">
      <c r="A855" s="28"/>
      <c r="B855" s="196"/>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row>
    <row r="856" spans="1:93" ht="15.75" customHeight="1">
      <c r="A856" s="28"/>
      <c r="B856" s="196"/>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row>
    <row r="857" spans="1:93" ht="15.75" customHeight="1">
      <c r="A857" s="28"/>
      <c r="B857" s="196"/>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row>
    <row r="858" spans="1:93" ht="15.75" customHeight="1">
      <c r="A858" s="28"/>
      <c r="B858" s="196"/>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row>
    <row r="859" spans="1:93" ht="15.75" customHeight="1">
      <c r="A859" s="28"/>
      <c r="B859" s="196"/>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row>
    <row r="860" spans="1:93" ht="15.75" customHeight="1">
      <c r="A860" s="28"/>
      <c r="B860" s="196"/>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row>
    <row r="861" spans="1:93" ht="15.75" customHeight="1">
      <c r="A861" s="28"/>
      <c r="B861" s="196"/>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row>
    <row r="862" spans="1:93" ht="15.75" customHeight="1">
      <c r="A862" s="28"/>
      <c r="B862" s="196"/>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row>
    <row r="863" spans="1:93" ht="15.75" customHeight="1">
      <c r="A863" s="28"/>
      <c r="B863" s="196"/>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row>
    <row r="864" spans="1:93" ht="15.75" customHeight="1">
      <c r="A864" s="28"/>
      <c r="B864" s="196"/>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row>
    <row r="865" spans="1:93" ht="15.75" customHeight="1">
      <c r="A865" s="28"/>
      <c r="B865" s="196"/>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row>
    <row r="866" spans="1:93" ht="15.75" customHeight="1">
      <c r="A866" s="28"/>
      <c r="B866" s="196"/>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row>
    <row r="867" spans="1:93" ht="15.75" customHeight="1">
      <c r="A867" s="28"/>
      <c r="B867" s="196"/>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row>
    <row r="868" spans="1:93" ht="15.75" customHeight="1">
      <c r="A868" s="28"/>
      <c r="B868" s="196"/>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row>
    <row r="869" spans="1:93" ht="15.75" customHeight="1">
      <c r="A869" s="28"/>
      <c r="B869" s="196"/>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row>
    <row r="870" spans="1:93" ht="15.75" customHeight="1">
      <c r="A870" s="28"/>
      <c r="B870" s="196"/>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row>
    <row r="871" spans="1:93" ht="15.75" customHeight="1">
      <c r="A871" s="28"/>
      <c r="B871" s="196"/>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row>
    <row r="872" spans="1:93" ht="15.75" customHeight="1">
      <c r="A872" s="28"/>
      <c r="B872" s="196"/>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row>
    <row r="873" spans="1:93" ht="15.75" customHeight="1">
      <c r="A873" s="28"/>
      <c r="B873" s="196"/>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row>
    <row r="874" spans="1:93" ht="15.75" customHeight="1">
      <c r="A874" s="28"/>
      <c r="B874" s="196"/>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row>
    <row r="875" spans="1:93" ht="15.75" customHeight="1">
      <c r="A875" s="28"/>
      <c r="B875" s="196"/>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row>
    <row r="876" spans="1:93" ht="15.75" customHeight="1">
      <c r="A876" s="28"/>
      <c r="B876" s="196"/>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row>
    <row r="877" spans="1:93" ht="15.75" customHeight="1">
      <c r="A877" s="28"/>
      <c r="B877" s="196"/>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row>
    <row r="878" spans="1:93" ht="15.75" customHeight="1">
      <c r="A878" s="28"/>
      <c r="B878" s="196"/>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row>
    <row r="879" spans="1:93" ht="15.75" customHeight="1">
      <c r="A879" s="28"/>
      <c r="B879" s="196"/>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row>
    <row r="880" spans="1:93" ht="15.75" customHeight="1">
      <c r="A880" s="28"/>
      <c r="B880" s="196"/>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row>
    <row r="881" spans="1:93" ht="15.75" customHeight="1">
      <c r="A881" s="28"/>
      <c r="B881" s="196"/>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row>
    <row r="882" spans="1:93" ht="15.75" customHeight="1">
      <c r="A882" s="28"/>
      <c r="B882" s="196"/>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row>
    <row r="883" spans="1:93" ht="15.75" customHeight="1">
      <c r="A883" s="28"/>
      <c r="B883" s="196"/>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row>
    <row r="884" spans="1:93" ht="15.75" customHeight="1">
      <c r="A884" s="28"/>
      <c r="B884" s="196"/>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row>
    <row r="885" spans="1:93" ht="15.75" customHeight="1">
      <c r="A885" s="28"/>
      <c r="B885" s="196"/>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row>
    <row r="886" spans="1:93" ht="15.75" customHeight="1">
      <c r="A886" s="28"/>
      <c r="B886" s="196"/>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row>
    <row r="887" spans="1:93" ht="15.75" customHeight="1">
      <c r="A887" s="28"/>
      <c r="B887" s="196"/>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row>
    <row r="888" spans="1:93" ht="15.75" customHeight="1">
      <c r="A888" s="28"/>
      <c r="B888" s="196"/>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row>
    <row r="889" spans="1:93" ht="15.75" customHeight="1">
      <c r="A889" s="28"/>
      <c r="B889" s="196"/>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row>
    <row r="890" spans="1:93" ht="15.75" customHeight="1">
      <c r="A890" s="28"/>
      <c r="B890" s="196"/>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row>
    <row r="891" spans="1:93" ht="15.75" customHeight="1">
      <c r="A891" s="28"/>
      <c r="B891" s="196"/>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row>
    <row r="892" spans="1:93" ht="15.75" customHeight="1">
      <c r="A892" s="28"/>
      <c r="B892" s="196"/>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row>
    <row r="893" spans="1:93" ht="15.75" customHeight="1">
      <c r="A893" s="28"/>
      <c r="B893" s="196"/>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row>
    <row r="894" spans="1:93" ht="15.75" customHeight="1">
      <c r="A894" s="28"/>
      <c r="B894" s="196"/>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row>
    <row r="895" spans="1:93" ht="15.75" customHeight="1">
      <c r="A895" s="28"/>
      <c r="B895" s="196"/>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row>
    <row r="896" spans="1:93" ht="15.75" customHeight="1">
      <c r="A896" s="28"/>
      <c r="B896" s="196"/>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row>
    <row r="897" spans="1:93" ht="15.75" customHeight="1">
      <c r="A897" s="28"/>
      <c r="B897" s="196"/>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row>
    <row r="898" spans="1:93" ht="15.75" customHeight="1">
      <c r="A898" s="28"/>
      <c r="B898" s="196"/>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row>
    <row r="899" spans="1:93" ht="15.75" customHeight="1">
      <c r="A899" s="28"/>
      <c r="B899" s="196"/>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row>
    <row r="900" spans="1:93" ht="15.75" customHeight="1">
      <c r="A900" s="28"/>
      <c r="B900" s="196"/>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row>
    <row r="901" spans="1:93" ht="15.75" customHeight="1">
      <c r="A901" s="28"/>
      <c r="B901" s="196"/>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row>
    <row r="902" spans="1:93" ht="15.75" customHeight="1">
      <c r="A902" s="28"/>
      <c r="B902" s="196"/>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row>
    <row r="903" spans="1:93" ht="15.75" customHeight="1">
      <c r="A903" s="28"/>
      <c r="B903" s="196"/>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row>
    <row r="904" spans="1:93" ht="15.75" customHeight="1">
      <c r="A904" s="28"/>
      <c r="B904" s="196"/>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row>
    <row r="905" spans="1:93" ht="15.75" customHeight="1">
      <c r="A905" s="28"/>
      <c r="B905" s="196"/>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row>
    <row r="906" spans="1:93" ht="15.75" customHeight="1">
      <c r="A906" s="28"/>
      <c r="B906" s="196"/>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row>
    <row r="907" spans="1:93" ht="15.75" customHeight="1">
      <c r="A907" s="28"/>
      <c r="B907" s="196"/>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row>
    <row r="908" spans="1:93" ht="15.75" customHeight="1">
      <c r="A908" s="28"/>
      <c r="B908" s="196"/>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row>
    <row r="909" spans="1:93" ht="15.75" customHeight="1">
      <c r="A909" s="28"/>
      <c r="B909" s="196"/>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row>
    <row r="910" spans="1:93" ht="15.75" customHeight="1">
      <c r="A910" s="28"/>
      <c r="B910" s="196"/>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row>
    <row r="911" spans="1:93" ht="15.75" customHeight="1">
      <c r="A911" s="28"/>
      <c r="B911" s="196"/>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row>
    <row r="912" spans="1:93" ht="15.75" customHeight="1">
      <c r="A912" s="28"/>
      <c r="B912" s="196"/>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row>
    <row r="913" spans="1:93" ht="15.75" customHeight="1">
      <c r="A913" s="28"/>
      <c r="B913" s="196"/>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row>
    <row r="914" spans="1:93" ht="15.75" customHeight="1">
      <c r="A914" s="28"/>
      <c r="B914" s="196"/>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row>
    <row r="915" spans="1:93" ht="15.75" customHeight="1">
      <c r="A915" s="28"/>
      <c r="B915" s="196"/>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row>
    <row r="916" spans="1:93" ht="15.75" customHeight="1">
      <c r="A916" s="28"/>
      <c r="B916" s="196"/>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row>
    <row r="917" spans="1:93" ht="15.75" customHeight="1">
      <c r="A917" s="28"/>
      <c r="B917" s="196"/>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row>
    <row r="918" spans="1:93" ht="15.75" customHeight="1">
      <c r="A918" s="28"/>
      <c r="B918" s="196"/>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row>
    <row r="919" spans="1:93" ht="15.75" customHeight="1">
      <c r="A919" s="28"/>
      <c r="B919" s="196"/>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row>
    <row r="920" spans="1:93" ht="15.75" customHeight="1">
      <c r="A920" s="28"/>
      <c r="B920" s="196"/>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row>
    <row r="921" spans="1:93" ht="15.75" customHeight="1">
      <c r="A921" s="28"/>
      <c r="B921" s="196"/>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row>
    <row r="922" spans="1:93" ht="15.75" customHeight="1">
      <c r="A922" s="28"/>
      <c r="B922" s="196"/>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row>
    <row r="923" spans="1:93" ht="15.75" customHeight="1">
      <c r="A923" s="28"/>
      <c r="B923" s="196"/>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row>
    <row r="924" spans="1:93" ht="15.75" customHeight="1">
      <c r="A924" s="28"/>
      <c r="B924" s="196"/>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row>
    <row r="925" spans="1:93" ht="15.75" customHeight="1">
      <c r="A925" s="28"/>
      <c r="B925" s="196"/>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row>
    <row r="926" spans="1:93" ht="15.75" customHeight="1">
      <c r="A926" s="28"/>
      <c r="B926" s="196"/>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row>
    <row r="927" spans="1:93" ht="15.75" customHeight="1">
      <c r="A927" s="28"/>
      <c r="B927" s="196"/>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row>
    <row r="928" spans="1:93" ht="15.75" customHeight="1">
      <c r="A928" s="28"/>
      <c r="B928" s="196"/>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row>
    <row r="929" spans="1:93" ht="15.75" customHeight="1">
      <c r="A929" s="28"/>
      <c r="B929" s="196"/>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row>
    <row r="930" spans="1:93" ht="15.75" customHeight="1">
      <c r="A930" s="28"/>
      <c r="B930" s="196"/>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row>
    <row r="931" spans="1:93" ht="15.75" customHeight="1">
      <c r="A931" s="28"/>
      <c r="B931" s="196"/>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row>
    <row r="932" spans="1:93" ht="15.75" customHeight="1">
      <c r="A932" s="28"/>
      <c r="B932" s="196"/>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row>
    <row r="933" spans="1:93" ht="15.75" customHeight="1">
      <c r="A933" s="28"/>
      <c r="B933" s="196"/>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row>
    <row r="934" spans="1:93" ht="15.75" customHeight="1">
      <c r="A934" s="28"/>
      <c r="B934" s="196"/>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row>
    <row r="935" spans="1:93" ht="15.75" customHeight="1">
      <c r="A935" s="28"/>
      <c r="B935" s="196"/>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row>
    <row r="936" spans="1:93" ht="15.75" customHeight="1">
      <c r="A936" s="28"/>
      <c r="B936" s="196"/>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row>
    <row r="937" spans="1:93" ht="15.75" customHeight="1">
      <c r="A937" s="28"/>
      <c r="B937" s="196"/>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row>
    <row r="938" spans="1:93" ht="15.75" customHeight="1">
      <c r="A938" s="28"/>
      <c r="B938" s="196"/>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row>
    <row r="939" spans="1:93" ht="15.75" customHeight="1">
      <c r="A939" s="28"/>
      <c r="B939" s="196"/>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row>
    <row r="940" spans="1:93" ht="15.75" customHeight="1">
      <c r="A940" s="28"/>
      <c r="B940" s="196"/>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row>
    <row r="941" spans="1:93" ht="15.75" customHeight="1">
      <c r="A941" s="28"/>
      <c r="B941" s="196"/>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row>
    <row r="942" spans="1:93" ht="15.75" customHeight="1">
      <c r="A942" s="28"/>
      <c r="B942" s="196"/>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row>
    <row r="943" spans="1:93" ht="15.75" customHeight="1">
      <c r="A943" s="28"/>
      <c r="B943" s="196"/>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row>
    <row r="944" spans="1:93" ht="15.75" customHeight="1">
      <c r="A944" s="28"/>
      <c r="B944" s="196"/>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row>
    <row r="945" spans="1:93" ht="15.75" customHeight="1">
      <c r="A945" s="28"/>
      <c r="B945" s="196"/>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row>
    <row r="946" spans="1:93" ht="15.75" customHeight="1">
      <c r="A946" s="28"/>
      <c r="B946" s="196"/>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row>
    <row r="947" spans="1:93" ht="15.75" customHeight="1">
      <c r="A947" s="28"/>
      <c r="B947" s="196"/>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row>
    <row r="948" spans="1:93" ht="15.75" customHeight="1">
      <c r="A948" s="28"/>
      <c r="B948" s="196"/>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row>
    <row r="949" spans="1:93" ht="15.75" customHeight="1">
      <c r="A949" s="28"/>
      <c r="B949" s="196"/>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row>
    <row r="950" spans="1:93" ht="15.75" customHeight="1">
      <c r="A950" s="28"/>
      <c r="B950" s="196"/>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row>
    <row r="951" spans="1:93" ht="15.75" customHeight="1">
      <c r="A951" s="28"/>
      <c r="B951" s="196"/>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row>
    <row r="952" spans="1:93" ht="15.75" customHeight="1">
      <c r="A952" s="28"/>
      <c r="B952" s="196"/>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row>
    <row r="953" spans="1:93" ht="15.75" customHeight="1">
      <c r="A953" s="28"/>
      <c r="B953" s="196"/>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row>
    <row r="954" spans="1:93" ht="15.75" customHeight="1">
      <c r="A954" s="28"/>
      <c r="B954" s="196"/>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row>
    <row r="955" spans="1:93" ht="15.75" customHeight="1">
      <c r="A955" s="28"/>
      <c r="B955" s="196"/>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row>
    <row r="956" spans="1:93" ht="15.75" customHeight="1">
      <c r="A956" s="28"/>
      <c r="B956" s="196"/>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row>
    <row r="957" spans="1:93" ht="15.75" customHeight="1">
      <c r="A957" s="28"/>
      <c r="B957" s="196"/>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row>
    <row r="958" spans="1:93" ht="15.75" customHeight="1">
      <c r="A958" s="28"/>
      <c r="B958" s="196"/>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row>
    <row r="959" spans="1:93" ht="15.75" customHeight="1">
      <c r="A959" s="28"/>
      <c r="B959" s="196"/>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row>
    <row r="960" spans="1:93" ht="15.75" customHeight="1">
      <c r="A960" s="28"/>
      <c r="B960" s="196"/>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row>
    <row r="961" spans="1:93" ht="15.75" customHeight="1">
      <c r="A961" s="28"/>
      <c r="B961" s="196"/>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row>
    <row r="962" spans="1:93" ht="15.75" customHeight="1">
      <c r="A962" s="28"/>
      <c r="B962" s="196"/>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row>
    <row r="963" spans="1:93" ht="15.75" customHeight="1">
      <c r="A963" s="28"/>
      <c r="B963" s="196"/>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row>
    <row r="964" spans="1:93" ht="15.75" customHeight="1">
      <c r="A964" s="28"/>
      <c r="B964" s="196"/>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row>
    <row r="965" spans="1:93" ht="15.75" customHeight="1">
      <c r="A965" s="28"/>
      <c r="B965" s="196"/>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row>
    <row r="966" spans="1:93" ht="15.75" customHeight="1">
      <c r="A966" s="28"/>
      <c r="B966" s="196"/>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row>
    <row r="967" spans="1:93" ht="15.75" customHeight="1">
      <c r="A967" s="28"/>
      <c r="B967" s="196"/>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row>
    <row r="968" spans="1:93" ht="15.75" customHeight="1">
      <c r="A968" s="28"/>
      <c r="B968" s="196"/>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row>
    <row r="969" spans="1:93" ht="15.75" customHeight="1">
      <c r="A969" s="28"/>
      <c r="B969" s="196"/>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row>
    <row r="970" spans="1:93" ht="15.75" customHeight="1">
      <c r="A970" s="28"/>
      <c r="B970" s="196"/>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row>
    <row r="971" spans="1:93" ht="15.75" customHeight="1">
      <c r="A971" s="28"/>
      <c r="B971" s="196"/>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row>
    <row r="972" spans="1:93" ht="15.75" customHeight="1">
      <c r="A972" s="28"/>
      <c r="B972" s="196"/>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row>
    <row r="973" spans="1:93" ht="15.75" customHeight="1">
      <c r="A973" s="28"/>
      <c r="B973" s="196"/>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row>
    <row r="974" spans="1:93" ht="15.75" customHeight="1">
      <c r="A974" s="28"/>
      <c r="B974" s="196"/>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row>
    <row r="975" spans="1:93" ht="15.75" customHeight="1">
      <c r="A975" s="28"/>
      <c r="B975" s="196"/>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row>
    <row r="976" spans="1:93" ht="15.75" customHeight="1">
      <c r="A976" s="28"/>
      <c r="B976" s="196"/>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row>
    <row r="977" spans="1:93" ht="15.75" customHeight="1">
      <c r="A977" s="28"/>
      <c r="B977" s="196"/>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row>
    <row r="978" spans="1:93" ht="15.75" customHeight="1">
      <c r="A978" s="28"/>
      <c r="B978" s="196"/>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row>
    <row r="979" spans="1:93" ht="15.75" customHeight="1">
      <c r="A979" s="28"/>
      <c r="B979" s="196"/>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row>
    <row r="980" spans="1:93" ht="15.75" customHeight="1">
      <c r="A980" s="28"/>
      <c r="B980" s="196"/>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row>
    <row r="981" spans="1:93" ht="15.75" customHeight="1">
      <c r="A981" s="28"/>
      <c r="B981" s="196"/>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row>
    <row r="982" spans="1:93" ht="15.75" customHeight="1">
      <c r="A982" s="28"/>
      <c r="B982" s="196"/>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row>
    <row r="983" spans="1:93" ht="15.75" customHeight="1">
      <c r="A983" s="28"/>
      <c r="B983" s="196"/>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row>
    <row r="984" spans="1:93" ht="15.75" customHeight="1">
      <c r="A984" s="28"/>
      <c r="B984" s="196"/>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row>
    <row r="985" spans="1:93" ht="15.75" customHeight="1">
      <c r="A985" s="28"/>
      <c r="B985" s="196"/>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row>
    <row r="986" spans="1:93" ht="15.75" customHeight="1">
      <c r="A986" s="28"/>
      <c r="B986" s="196"/>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row>
    <row r="987" spans="1:93" ht="15.75" customHeight="1">
      <c r="A987" s="28"/>
      <c r="B987" s="196"/>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row>
    <row r="988" spans="1:93" ht="15.75" customHeight="1">
      <c r="A988" s="28"/>
      <c r="B988" s="196"/>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row>
    <row r="989" spans="1:93" ht="15.75" customHeight="1">
      <c r="A989" s="28"/>
      <c r="B989" s="196"/>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row>
    <row r="990" spans="1:93" ht="15.75" customHeight="1">
      <c r="A990" s="28"/>
      <c r="B990" s="196"/>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row>
    <row r="991" spans="1:93" ht="15.75" customHeight="1">
      <c r="A991" s="28"/>
      <c r="B991" s="196"/>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row>
    <row r="992" spans="1:93" ht="15.75" customHeight="1">
      <c r="A992" s="28"/>
      <c r="B992" s="196"/>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row>
    <row r="993" spans="1:93" ht="15.75" customHeight="1">
      <c r="A993" s="28"/>
      <c r="B993" s="196"/>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row>
    <row r="994" spans="1:93" ht="15.75" customHeight="1">
      <c r="A994" s="28"/>
      <c r="B994" s="196"/>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row>
    <row r="995" spans="1:93" ht="15.75" customHeight="1">
      <c r="A995" s="28"/>
      <c r="B995" s="196"/>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row>
    <row r="996" spans="1:93" ht="15.75" customHeight="1">
      <c r="A996" s="28"/>
      <c r="B996" s="196"/>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row>
    <row r="997" spans="1:93" ht="15.75" customHeight="1">
      <c r="A997" s="28"/>
      <c r="B997" s="196"/>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row>
    <row r="998" spans="1:93" ht="15.75" customHeight="1">
      <c r="A998" s="28"/>
      <c r="B998" s="196"/>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row>
    <row r="999" spans="1:93" ht="15.75" customHeight="1">
      <c r="A999" s="28"/>
      <c r="B999" s="196"/>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row>
    <row r="1000" spans="1:93" ht="15.75" customHeight="1">
      <c r="A1000" s="28"/>
      <c r="B1000" s="196"/>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row>
    <row r="1001" spans="1:93" ht="15.75" customHeight="1">
      <c r="A1001" s="28"/>
      <c r="B1001" s="196"/>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row>
    <row r="1002" spans="1:93" ht="15.75" customHeight="1">
      <c r="A1002" s="28"/>
      <c r="B1002" s="196"/>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row>
  </sheetData>
  <sheetProtection sheet="1" scenarios="1" formatCells="0" formatColumns="0" formatRows="0" sort="0" autoFilter="0"/>
  <mergeCells count="77">
    <mergeCell ref="D4:F4"/>
    <mergeCell ref="AD21:AG21"/>
    <mergeCell ref="Q25:T25"/>
    <mergeCell ref="AD39:AG39"/>
    <mergeCell ref="Q43:T43"/>
    <mergeCell ref="Q24:T24"/>
    <mergeCell ref="D40:G40"/>
    <mergeCell ref="AD23:AG23"/>
    <mergeCell ref="Q33:T33"/>
    <mergeCell ref="Q11:AB11"/>
    <mergeCell ref="AD13:AG13"/>
    <mergeCell ref="AD15:AG15"/>
    <mergeCell ref="D32:G32"/>
    <mergeCell ref="D41:G41"/>
    <mergeCell ref="D16:G16"/>
    <mergeCell ref="D43:G43"/>
    <mergeCell ref="D6:P7"/>
    <mergeCell ref="AD22:AG22"/>
    <mergeCell ref="D39:G39"/>
    <mergeCell ref="D15:G15"/>
    <mergeCell ref="AD24:AG24"/>
    <mergeCell ref="AD33:AG33"/>
    <mergeCell ref="Q14:T14"/>
    <mergeCell ref="D20:O20"/>
    <mergeCell ref="Q15:T15"/>
    <mergeCell ref="D12:G12"/>
    <mergeCell ref="D25:G25"/>
    <mergeCell ref="D30:G30"/>
    <mergeCell ref="Q32:T32"/>
    <mergeCell ref="D14:G14"/>
    <mergeCell ref="D23:G23"/>
    <mergeCell ref="Q16:T16"/>
    <mergeCell ref="D63:Q63"/>
    <mergeCell ref="AD16:AG16"/>
    <mergeCell ref="D33:G33"/>
    <mergeCell ref="D42:G42"/>
    <mergeCell ref="D46:AC46"/>
    <mergeCell ref="D34:G34"/>
    <mergeCell ref="Q39:T39"/>
    <mergeCell ref="AD34:AG34"/>
    <mergeCell ref="Q23:T23"/>
    <mergeCell ref="AD25:AG25"/>
    <mergeCell ref="Q31:T31"/>
    <mergeCell ref="AD30:AG30"/>
    <mergeCell ref="AD20:AO20"/>
    <mergeCell ref="Q40:T40"/>
    <mergeCell ref="AD29:AO29"/>
    <mergeCell ref="Q42:T42"/>
    <mergeCell ref="D9:Q9"/>
    <mergeCell ref="AD31:AG31"/>
    <mergeCell ref="AD40:AG40"/>
    <mergeCell ref="AD38:AO38"/>
    <mergeCell ref="Q34:T34"/>
    <mergeCell ref="AD32:AG32"/>
    <mergeCell ref="Q30:T30"/>
    <mergeCell ref="D24:G24"/>
    <mergeCell ref="Q12:T12"/>
    <mergeCell ref="Q22:T22"/>
    <mergeCell ref="AD43:AG43"/>
    <mergeCell ref="AD42:AG42"/>
    <mergeCell ref="AD11:AO11"/>
    <mergeCell ref="Q13:T13"/>
    <mergeCell ref="AD12:AG12"/>
    <mergeCell ref="Q21:T21"/>
    <mergeCell ref="AD14:AG14"/>
    <mergeCell ref="Q41:T41"/>
    <mergeCell ref="AD41:AG41"/>
    <mergeCell ref="Q20:AB20"/>
    <mergeCell ref="Q29:AB29"/>
    <mergeCell ref="D11:O11"/>
    <mergeCell ref="Q38:AB38"/>
    <mergeCell ref="D22:G22"/>
    <mergeCell ref="D31:G31"/>
    <mergeCell ref="D29:O29"/>
    <mergeCell ref="D38:O38"/>
    <mergeCell ref="D21:G21"/>
    <mergeCell ref="D13:G13"/>
  </mergeCells>
  <pageMargins left="0.75" right="0.75" top="1" bottom="1"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A64A"/>
  </sheetPr>
  <dimension ref="A1:BG1005"/>
  <sheetViews>
    <sheetView showGridLines="0" zoomScaleNormal="100" workbookViewId="0">
      <selection activeCell="A2" sqref="A2"/>
    </sheetView>
  </sheetViews>
  <sheetFormatPr baseColWidth="10" defaultColWidth="11.28515625" defaultRowHeight="15" customHeight="1"/>
  <cols>
    <col min="1" max="1" width="1.28515625" style="187" customWidth="1"/>
    <col min="2" max="3" width="1.28515625" customWidth="1"/>
    <col min="4" max="4" width="5" customWidth="1"/>
    <col min="5" max="5" width="11" customWidth="1"/>
    <col min="6" max="6" width="5" customWidth="1"/>
    <col min="7" max="7" width="14" customWidth="1"/>
    <col min="8" max="8" width="11" customWidth="1"/>
    <col min="9" max="9" width="25.5703125" customWidth="1"/>
    <col min="10" max="10" width="26.7109375" customWidth="1"/>
    <col min="11" max="11" width="22" hidden="1" customWidth="1"/>
    <col min="12" max="12" width="18" hidden="1" customWidth="1"/>
    <col min="13" max="13" width="9" hidden="1" customWidth="1"/>
    <col min="14" max="20" width="7" customWidth="1"/>
    <col min="21" max="21" width="30.85546875" customWidth="1"/>
    <col min="22" max="22" width="11" hidden="1" customWidth="1"/>
    <col min="23" max="23" width="22" customWidth="1"/>
    <col min="24" max="24" width="14" hidden="1" customWidth="1"/>
    <col min="25" max="27" width="13" hidden="1" customWidth="1"/>
    <col min="28" max="28" width="1.28515625" customWidth="1"/>
    <col min="29" max="29" width="38.28515625" hidden="1" customWidth="1"/>
    <col min="30" max="32" width="8.5703125" hidden="1" customWidth="1"/>
    <col min="33" max="59" width="8.5703125" customWidth="1"/>
  </cols>
  <sheetData>
    <row r="1" spans="1:59" s="161" customFormat="1" ht="7.5" customHeight="1">
      <c r="A1" s="187"/>
    </row>
    <row r="2" spans="1:59" s="161" customFormat="1" ht="7.5" customHeight="1">
      <c r="A2" s="187"/>
    </row>
    <row r="3" spans="1:59" ht="7.5" customHeight="1" thickBot="1">
      <c r="B3" s="44"/>
      <c r="C3" s="44"/>
      <c r="D3" s="223"/>
      <c r="E3" s="223"/>
      <c r="F3" s="223"/>
      <c r="G3" s="224"/>
      <c r="H3" s="224"/>
      <c r="I3" s="224"/>
      <c r="J3" s="224"/>
      <c r="K3" s="225"/>
      <c r="L3" s="224"/>
      <c r="M3" s="225"/>
      <c r="N3" s="225"/>
      <c r="O3" s="225"/>
      <c r="P3" s="225"/>
      <c r="Q3" s="225"/>
      <c r="R3" s="225"/>
      <c r="S3" s="225"/>
      <c r="T3" s="225"/>
      <c r="U3" s="225"/>
      <c r="V3" s="225"/>
      <c r="W3" s="225"/>
      <c r="X3" s="45"/>
      <c r="Y3" s="45"/>
      <c r="Z3" s="45"/>
      <c r="AA3" s="45"/>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59" ht="33" customHeight="1" thickTop="1">
      <c r="B4" s="44"/>
      <c r="C4" s="226"/>
      <c r="D4" s="273" t="str">
        <f>HYPERLINK("https://www.justgiving.com/page/predictforpsc",VLOOKUP("btn_donate_now",langTable,MATCH(langName,_lang!$A$1:$F$1,0),FALSE()))</f>
        <v>♥ DONATE NOW</v>
      </c>
      <c r="E4" s="274"/>
      <c r="F4" s="275"/>
      <c r="G4" s="45"/>
      <c r="H4" s="45"/>
      <c r="I4" s="45"/>
      <c r="J4" s="45"/>
      <c r="K4" s="46"/>
      <c r="L4" s="45"/>
      <c r="M4" s="46"/>
      <c r="N4" s="46"/>
      <c r="O4" s="46"/>
      <c r="P4" s="46"/>
      <c r="Q4" s="46"/>
      <c r="R4" s="279" t="str">
        <f>VLOOKUP("sc_title",langTable,MATCH(langName,_lang!$A$1:$F$1,0),FALSE())</f>
        <v>&gt;&gt;&gt; YOUR SCORECARD</v>
      </c>
      <c r="S4" s="267"/>
      <c r="T4" s="267"/>
      <c r="U4" s="267"/>
      <c r="V4" s="267"/>
      <c r="W4" s="267"/>
      <c r="X4" s="45"/>
      <c r="Y4" s="45"/>
      <c r="Z4" s="45"/>
      <c r="AA4" s="45"/>
      <c r="AB4" s="231"/>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row>
    <row r="5" spans="1:59" ht="20" customHeight="1">
      <c r="B5" s="44"/>
      <c r="C5" s="226"/>
      <c r="D5" s="44"/>
      <c r="E5" s="44"/>
      <c r="F5" s="44"/>
      <c r="G5" s="45"/>
      <c r="H5" s="45"/>
      <c r="I5" s="45"/>
      <c r="J5" s="45"/>
      <c r="K5" s="46"/>
      <c r="L5" s="45"/>
      <c r="M5" s="46"/>
      <c r="N5" s="46"/>
      <c r="O5" s="46"/>
      <c r="P5" s="46"/>
      <c r="Q5" s="46"/>
      <c r="R5" s="272" t="str">
        <f>VLOOKUP("sc_outcome",langTable,MATCH(langName,_lang!$A$1:$F$1,0),FALSE())</f>
        <v>Outcome accuracy:</v>
      </c>
      <c r="S5" s="271"/>
      <c r="T5" s="271"/>
      <c r="U5" s="270" t="str">
        <f>IF(SUMPRODUCT((ISNUMBER(N12:N115))*(ISNUMBER(O12:O115))*(ISNUMBER(P12:P115))*(ISNUMBER(Q12:Q115)))=0,"0% · 0/0",ROUND(SUMPRODUCT((ISNUMBER(N12:N115))*(ISNUMBER(O12:O115))*(ISNUMBER(P12:P115))*(ISNUMBER(Q12:Q115))*(SIGN(N12:N115-O12:O115)=SIGN(P12:P115-Q12:Q115)))/SUMPRODUCT((ISNUMBER(N12:N115))*(ISNUMBER(O12:O115))*(ISNUMBER(P12:P115))*(ISNUMBER(Q12:Q115)))*100,0)&amp;"% · "&amp;SUMPRODUCT((ISNUMBER(N12:N115))*(ISNUMBER(O12:O115))*(ISNUMBER(P12:P115))*(ISNUMBER(Q12:Q115))*(SIGN(N12:N115-O12:O115)=SIGN(P12:P115-Q12:Q115)))&amp;"/"&amp;SUMPRODUCT((ISNUMBER(N12:N115))*(ISNUMBER(O12:O115))*(ISNUMBER(P12:P115))*(ISNUMBER(Q12:Q115))))</f>
        <v>0% · 0/0</v>
      </c>
      <c r="V5" s="271"/>
      <c r="W5" s="271"/>
      <c r="X5" s="45"/>
      <c r="Y5" s="45"/>
      <c r="Z5" s="45"/>
      <c r="AA5" s="45"/>
      <c r="AB5" s="231"/>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row>
    <row r="6" spans="1:59" ht="20" customHeight="1">
      <c r="B6" s="48"/>
      <c r="C6" s="227"/>
      <c r="D6" s="49"/>
      <c r="E6" s="49"/>
      <c r="F6" s="49"/>
      <c r="G6" s="49"/>
      <c r="H6" s="49"/>
      <c r="I6" s="49"/>
      <c r="J6" s="49"/>
      <c r="K6" s="49"/>
      <c r="L6" s="49"/>
      <c r="M6" s="49"/>
      <c r="N6" s="49"/>
      <c r="O6" s="49"/>
      <c r="P6" s="45"/>
      <c r="Q6" s="45"/>
      <c r="R6" s="276" t="str">
        <f>VLOOKUP("sc_exact",langTable,MATCH(langName,_lang!$A$1:$F$1,0),FALSE())</f>
        <v>Exact score:</v>
      </c>
      <c r="S6" s="267"/>
      <c r="T6" s="267"/>
      <c r="U6" s="266" t="str">
        <f>IF(SUMPRODUCT((ISNUMBER(N12:N115))*(ISNUMBER(O12:O115))*(ISNUMBER(P12:P115))*(ISNUMBER(Q12:Q115)))=0,"0% · 0/0",ROUND(SUMPRODUCT((ISNUMBER(N12:N115))*(ISNUMBER(O12:O115))*(ISNUMBER(P12:P115))*(ISNUMBER(Q12:Q115))*(N12:N115=P12:P115)*(O12:O115=Q12:Q115))/SUMPRODUCT((ISNUMBER(N12:N115))*(ISNUMBER(O12:O115))*(ISNUMBER(P12:P115))*(ISNUMBER(Q12:Q115)))*100,0)&amp;"% · "&amp;SUMPRODUCT((ISNUMBER(N12:N115))*(ISNUMBER(O12:O115))*(ISNUMBER(P12:P115))*(ISNUMBER(Q12:Q115))*(N12:N115=P12:P115)*(O12:O115=Q12:Q115))&amp;"/"&amp;SUMPRODUCT((ISNUMBER(N12:N115))*(ISNUMBER(O12:O115))*(ISNUMBER(P12:P115))*(ISNUMBER(Q12:Q115))))</f>
        <v>0% · 0/0</v>
      </c>
      <c r="V6" s="267"/>
      <c r="W6" s="267"/>
      <c r="X6" s="45"/>
      <c r="Y6" s="45"/>
      <c r="Z6" s="45"/>
      <c r="AA6" s="45"/>
      <c r="AB6" s="231"/>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59" ht="20" customHeight="1">
      <c r="B7" s="48"/>
      <c r="C7" s="227"/>
      <c r="D7" s="269" t="str">
        <f>VLOOKUP("FX_title",langTable,MATCH(langName,_lang!$A$1:$F$1,0),FALSE())</f>
        <v>&gt;&gt;&gt; PREDICTIONS AND RESULTS</v>
      </c>
      <c r="E7" s="267"/>
      <c r="F7" s="267"/>
      <c r="G7" s="267"/>
      <c r="H7" s="267"/>
      <c r="I7" s="49"/>
      <c r="J7" s="49"/>
      <c r="K7" s="49"/>
      <c r="L7" s="49"/>
      <c r="M7" s="49"/>
      <c r="N7" s="49"/>
      <c r="O7" s="49"/>
      <c r="P7" s="45"/>
      <c r="Q7" s="45"/>
      <c r="R7" s="276" t="str">
        <f>VLOOKUP("sc_points",langTable,MATCH(langName,_lang!$A$1:$F$1,0),FALSE())</f>
        <v>Points:</v>
      </c>
      <c r="S7" s="267"/>
      <c r="T7" s="267"/>
      <c r="U7" s="266">
        <f>2*SUMPRODUCT((ISNUMBER(N12:N115))*(ISNUMBER(O12:O115))*(ISNUMBER(P12:P115))*(ISNUMBER(Q12:Q115))*(N12:N115=P12:P115)*(O12:O115=Q12:Q115))+SUMPRODUCT((ISNUMBER(N12:N115))*(ISNUMBER(O12:O115))*(ISNUMBER(P12:P115))*(ISNUMBER(Q12:Q115))*(SIGN(N12:N115-O12:O115)=SIGN(P12:P115-Q12:Q115)))</f>
        <v>0</v>
      </c>
      <c r="V7" s="267"/>
      <c r="W7" s="267"/>
      <c r="X7" s="45"/>
      <c r="Y7" s="45"/>
      <c r="Z7" s="45"/>
      <c r="AA7" s="45"/>
      <c r="AB7" s="231"/>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59" ht="20" customHeight="1">
      <c r="B8" s="48"/>
      <c r="C8" s="227"/>
      <c r="D8" s="267"/>
      <c r="E8" s="267"/>
      <c r="F8" s="267"/>
      <c r="G8" s="267"/>
      <c r="H8" s="267"/>
      <c r="I8" s="49"/>
      <c r="J8" s="49"/>
      <c r="K8" s="49"/>
      <c r="L8" s="49"/>
      <c r="M8" s="49"/>
      <c r="N8" s="49"/>
      <c r="O8" s="49"/>
      <c r="P8" s="45"/>
      <c r="Q8" s="45"/>
      <c r="R8" s="276" t="str">
        <f>VLOOKUP("sc_pred_winner",langTable,MATCH(langName,_lang!$A$1:$F$1,0),FALSE())</f>
        <v>Your WC winner:</v>
      </c>
      <c r="S8" s="267"/>
      <c r="T8" s="267"/>
      <c r="U8" s="266" t="str">
        <f>IF(AND(ISNUMBER(N115),ISNUMBER(O115),IFERROR(LEFT(I115,3)&lt;&gt;"TBC",FALSE),IFERROR(LEFT(J115,3)&lt;&gt;"TBC",FALSE)),IF(N115&gt;O115,I115,IF(O115&gt;N115,J115,IF(W115=I115,I115,IF(W115=J115,J115,"Drawn · pick V113")))),VLOOKUP("sc_tbc_predict",langTable,MATCH(langName,_lang!$A$1:$F$1,0),FALSE))</f>
        <v>TBC — predict the final</v>
      </c>
      <c r="V8" s="267"/>
      <c r="W8" s="267"/>
      <c r="X8" s="45"/>
      <c r="Y8" s="45"/>
      <c r="Z8" s="45"/>
      <c r="AA8" s="45"/>
      <c r="AB8" s="231"/>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row>
    <row r="9" spans="1:59" ht="20" customHeight="1">
      <c r="B9" s="50"/>
      <c r="C9" s="228"/>
      <c r="D9" s="268" t="str">
        <f>VLOOKUP("fx_subtitle",langTable,MATCH(langName,_lang!$A$1:$F$1,0),FALSE())</f>
        <v>Enter your predicted + actual scores in the yellow cells</v>
      </c>
      <c r="E9" s="267"/>
      <c r="F9" s="267"/>
      <c r="G9" s="267"/>
      <c r="H9" s="267"/>
      <c r="I9" s="267"/>
      <c r="J9" s="267"/>
      <c r="K9" s="267"/>
      <c r="L9" s="267"/>
      <c r="M9" s="267"/>
      <c r="N9" s="267"/>
      <c r="O9" s="267"/>
      <c r="P9" s="267"/>
      <c r="Q9" s="267"/>
      <c r="R9" s="277" t="str">
        <f>VLOOKUP("sc_actual_winner",langTable,MATCH(langName,_lang!$A$1:$F$1,0),FALSE())</f>
        <v>Actual WC winner:</v>
      </c>
      <c r="S9" s="278"/>
      <c r="T9" s="278"/>
      <c r="U9" s="280" t="str">
        <f>IF(AND(ISNUMBER(P115),ISNUMBER(Q115),IFERROR(LEFT(I115,3)&lt;&gt;"TBC",FALSE),IFERROR(LEFT(J115,3)&lt;&gt;"TBC",FALSE)),IF(P115&gt;Q115,I115,IF(Q115&gt;P115,J115,IF(W115=I115,I115,IF(W115=J115,J115,"Drawn · pick V113")))),VLOOKUP("sc_tbc_played",langTable,MATCH(langName,_lang!$A$1:$F$1,0),FALSE))</f>
        <v>TBC — final not played</v>
      </c>
      <c r="V9" s="278"/>
      <c r="W9" s="278"/>
      <c r="X9" s="51"/>
      <c r="Y9" s="51"/>
      <c r="Z9" s="51"/>
      <c r="AA9" s="51"/>
      <c r="AB9" s="23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row>
    <row r="10" spans="1:59" ht="15" customHeight="1">
      <c r="B10" s="45"/>
      <c r="C10" s="229"/>
      <c r="D10" s="45"/>
      <c r="E10" s="45"/>
      <c r="F10" s="45"/>
      <c r="G10" s="45"/>
      <c r="H10" s="45"/>
      <c r="I10" s="45"/>
      <c r="J10" s="45"/>
      <c r="K10" s="45"/>
      <c r="L10" s="45"/>
      <c r="M10" s="45"/>
      <c r="N10" s="45"/>
      <c r="O10" s="45"/>
      <c r="P10" s="45"/>
      <c r="Q10" s="45"/>
      <c r="R10" s="45"/>
      <c r="S10" s="45"/>
      <c r="T10" s="45"/>
      <c r="U10" s="45"/>
      <c r="V10" s="45"/>
      <c r="W10" s="45"/>
      <c r="X10" s="45"/>
      <c r="Y10" s="45"/>
      <c r="Z10" s="45"/>
      <c r="AA10" s="45"/>
      <c r="AB10" s="231"/>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59" ht="15" customHeight="1">
      <c r="B11" s="45"/>
      <c r="C11" s="229"/>
      <c r="D11" s="107" t="str">
        <f>VLOOKUP("hdr_match",langTable,MATCH(langName,_lang!$A$1:$F$1,0),FALSE())</f>
        <v>#</v>
      </c>
      <c r="E11" s="107" t="str">
        <f>VLOOKUP("hdr_date",langTable,MATCH(langName,_lang!$A$1:$F$1,0),FALSE())</f>
        <v>DATE</v>
      </c>
      <c r="F11" s="107" t="str">
        <f>VLOOKUP("hdr_day",langTable,MATCH(langName,_lang!$A$1:$F$1,0),FALSE())</f>
        <v>DAYS</v>
      </c>
      <c r="G11" s="107" t="str">
        <f>VLOOKUP("hdr_kickoff",langTable,MATCH(langName,_lang!$A$1:$F$1,0),FALSE())</f>
        <v>KO</v>
      </c>
      <c r="H11" s="107" t="str">
        <f>VLOOKUP("hdr_round_grp",langTable,MATCH(langName,_lang!$A$1:$F$1,0),FALSE())</f>
        <v>Rnd/Grp</v>
      </c>
      <c r="I11" s="107" t="str">
        <f>VLOOKUP("hdr_home",langTable,MATCH(langName,_lang!$A$1:$F$1,0),FALSE())</f>
        <v>HOME</v>
      </c>
      <c r="J11" s="107" t="str">
        <f>VLOOKUP("hdr_away",langTable,MATCH(langName,_lang!$A$1:$F$1,0),FALSE())</f>
        <v>AWAY</v>
      </c>
      <c r="K11" s="107" t="str">
        <f>VLOOKUP("hdr_stadium",langTable,MATCH(langName,_lang!$A$1:$F$1,0),FALSE())</f>
        <v>STADIUM</v>
      </c>
      <c r="L11" s="107" t="str">
        <f>VLOOKUP("hdr_city",langTable,MATCH(langName,_lang!$A$1:$F$1,0),FALSE())</f>
        <v>CITY</v>
      </c>
      <c r="M11" s="107" t="str">
        <f>VLOOKUP("hdr_cap",langTable,MATCH(langName,_lang!$A$1:$F$1,0),FALSE())</f>
        <v>CAP</v>
      </c>
      <c r="N11" s="107" t="str">
        <f>VLOOKUP("hdr_pred_h",langTable,MATCH(langName,_lang!$A$1:$F$1,0),FALSE())</f>
        <v>Pred H</v>
      </c>
      <c r="O11" s="107" t="str">
        <f>VLOOKUP("hdr_pred_a",langTable,MATCH(langName,_lang!$A$1:$F$1,0),FALSE())</f>
        <v>Pred A</v>
      </c>
      <c r="P11" s="118" t="str">
        <f>VLOOKUP("hdr_act_h",langTable,MATCH(langName,_lang!$A$1:$F$1,0),FALSE())</f>
        <v>Act H</v>
      </c>
      <c r="Q11" s="118" t="str">
        <f>VLOOKUP("hdr_act_a",langTable,MATCH(langName,_lang!$A$1:$F$1,0),FALSE())</f>
        <v>Act A</v>
      </c>
      <c r="R11" s="107" t="str">
        <f>VLOOKUP("hdr_eff_h",langTable,MATCH(langName,_lang!$A$1:$F$1,0),FALSE())</f>
        <v>Eff H</v>
      </c>
      <c r="S11" s="107" t="str">
        <f>VLOOKUP("hdr_eff_a",langTable,MATCH(langName,_lang!$A$1:$F$1,0),FALSE())</f>
        <v>Eff A</v>
      </c>
      <c r="T11" s="107" t="str">
        <f>VLOOKUP("hdr_played",langTable,MATCH(langName,_lang!$A$1:$F$1,0),FALSE())</f>
        <v>PLAYED</v>
      </c>
      <c r="U11" s="118" t="str">
        <f>VLOOKUP("hdr_result",langTable,MATCH(langName,_lang!$A$1:$F$1,0),FALSE())</f>
        <v>RESULT</v>
      </c>
      <c r="V11" s="118" t="str">
        <f>VLOOKUP("hdr_tv",langTable,MATCH(langName,_lang!$A$1:$F$1,0),FALSE())</f>
        <v>TV (UK)</v>
      </c>
      <c r="W11" s="118" t="str">
        <f>VLOOKUP("hdr_pens",langTable,MATCH(langName,_lang!$A$1:$F$1,0),FALSE())</f>
        <v>PENS/ET WINNER</v>
      </c>
      <c r="X11" s="53" t="s">
        <v>0</v>
      </c>
      <c r="Y11" s="54" t="s">
        <v>1</v>
      </c>
      <c r="Z11" s="54" t="s">
        <v>2</v>
      </c>
      <c r="AA11" s="54" t="s">
        <v>3</v>
      </c>
      <c r="AB11" s="231"/>
      <c r="AC11" s="55" t="str">
        <f>VLOOKUP("hdr_h2h",langTable,MATCH(langName,_lang!$A$1:$F$1,0),FALSE())</f>
        <v>H2H (WC)</v>
      </c>
      <c r="AD11" s="56" t="s">
        <v>4</v>
      </c>
      <c r="AE11" s="56" t="s">
        <v>5</v>
      </c>
      <c r="AF11" s="56" t="s">
        <v>6</v>
      </c>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59" ht="15" customHeight="1">
      <c r="B12" s="57"/>
      <c r="C12" s="230"/>
      <c r="D12" s="112">
        <v>1</v>
      </c>
      <c r="E12" s="108" t="str">
        <f>DAY(X12+tzOffset/24)&amp;" "&amp;VLOOKUP("month_"&amp;MONTH(X12+tzOffset/24),langTable,MATCH(langName,_lang!$A$1:$F$1,0),FALSE())</f>
        <v>11 Jun</v>
      </c>
      <c r="F12" s="108" t="str">
        <f>VLOOKUP("dow_"&amp;IF(WEEKDAY(X12+tzOffset/24,2)=0,7,WEEKDAY(X12+tzOffset/24,2)),langTable,MATCH(langName,_lang!$A$1:$F$1,0),FALSE())</f>
        <v>Thu</v>
      </c>
      <c r="G12" s="108" t="str">
        <f t="shared" ref="G12:G43" si="0">TEXT(X12+tzOffset/24,"hh:mm")</f>
        <v>20:00</v>
      </c>
      <c r="H12" s="112" t="s">
        <v>7</v>
      </c>
      <c r="I12" s="109" t="s">
        <v>8</v>
      </c>
      <c r="J12" s="115" t="s">
        <v>9</v>
      </c>
      <c r="K12" s="109" t="s">
        <v>10</v>
      </c>
      <c r="L12" s="109" t="str">
        <f t="shared" ref="L12:L43" si="1">VLOOKUP(K12,Stadiums_lookup,2,FALSE())</f>
        <v>Mexico City</v>
      </c>
      <c r="M12" s="110">
        <f t="shared" ref="M12:M43" si="2">VLOOKUP(K12,Stadiums_lookup,4,FALSE())</f>
        <v>87000</v>
      </c>
      <c r="N12" s="258"/>
      <c r="O12" s="259"/>
      <c r="P12" s="260"/>
      <c r="Q12" s="260"/>
      <c r="R12" s="154">
        <f t="shared" ref="R12:R43" si="3">IF(ISNUMBER(P12),P12,IF(ISNUMBER(N12),N12,0))</f>
        <v>0</v>
      </c>
      <c r="S12" s="155">
        <f t="shared" ref="S12:S43" si="4">IF(ISNUMBER(Q12),Q12,IF(ISNUMBER(O12),O12,0))</f>
        <v>0</v>
      </c>
      <c r="T12" s="119">
        <f t="shared" ref="T12:T43" si="5">(ISNUMBER(N12)+ISNUMBER(P12)&gt;0)*(ISNUMBER(O12)+ISNUMBER(Q12)&gt;0)</f>
        <v>0</v>
      </c>
      <c r="U12" s="140" t="str">
        <f>IF(T12=1,IF(R12&gt;S12,I12&amp;VLOOKUP("win_suffix",langTable,MATCH(langName,_lang!$A$1:$F$1,0),FALSE()),IF(R12&lt;S12,J12&amp;VLOOKUP("win_suffix",langTable,MATCH(langName,_lang!$A$1:$F$1,0),FALSE()),VLOOKUP("draw",langTable,MATCH(langName,_lang!$A$1:$F$1,0),FALSE()))),"")</f>
        <v/>
      </c>
      <c r="V12" s="138" t="str">
        <f>IF(AND(tzCode="UK",langCode="EN"),IF(1,"ITV","BBC"),"")</f>
        <v>ITV</v>
      </c>
      <c r="W12" s="139" t="str">
        <f>VLOOKUP("pens_na",langTable,MATCH(langName,_lang!$A$1:$F$1,0),FALSE())</f>
        <v>N/A</v>
      </c>
      <c r="X12" s="58">
        <v>46184.791666666657</v>
      </c>
      <c r="Y12" s="45"/>
      <c r="Z12" s="45"/>
      <c r="AA12" s="59">
        <f t="shared" ref="AA12:AA43" ca="1" si="6">IF(X12&gt;=NOW(),COUNTIFS($X$12:$X$115,"&gt;="&amp;NOW(),$X$12:$X$115,"&lt;"&amp;X12)+COUNTIFS($X$12:$X$115,"="&amp;X12,$D$12:$D$115,"&lt;"&amp;D12)+1,999)</f>
        <v>1</v>
      </c>
      <c r="AB12" s="231"/>
      <c r="AC12" s="60" t="str">
        <f>IF(OR(AD12="",AE12="",LEFT(I12,3)="TBC",LEFT(J12,3)="TBC"),"",IFERROR(IF(COUNTIF(_h2h!$H$2:$H$94,AF12)=0,VLOOKUP("h2h_none",langTable,MATCH(langName,_lang!$A$1:$F$1,0),FALSE),IF(COUNTIF(_h2h!$H$2:$H$94,AF12)=1,"Met once · "&amp;INDEX(_h2h!$I$2:$I$94,MATCH(AF12,_h2h!$H$2:$H$94,0)),"Met "&amp;COUNTIF(_h2h!$H$2:$H$94,AF12)&amp;"× · last: "&amp;INDEX(_h2h!$I$2:$I$94,MATCH(AF12,_h2h!$H$2:$H$94,0)))),""))</f>
        <v>First WC meeting</v>
      </c>
      <c r="AD12" s="47" t="str">
        <f t="shared" ref="AD12:AD43" si="7">IFERROR(TRIM(MID(I12,FIND(" ",I12)+1,999)),"")</f>
        <v>Mexico</v>
      </c>
      <c r="AE12" s="47" t="str">
        <f t="shared" ref="AE12:AE43" si="8">IFERROR(TRIM(MID(J12,FIND(" ",J12)+1,999)),"")</f>
        <v>South Africa</v>
      </c>
      <c r="AF12" s="47" t="str">
        <f t="shared" ref="AF12:AF43" si="9">IF(OR(AD12="",AE12=""),"",IF(AD12&lt;AE12,AD12&amp;"|"&amp;AE12,AE12&amp;"|"&amp;AD12))</f>
        <v>Mexico|South Africa</v>
      </c>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row>
    <row r="13" spans="1:59" ht="15" customHeight="1">
      <c r="B13" s="57"/>
      <c r="C13" s="230"/>
      <c r="D13" s="112">
        <v>2</v>
      </c>
      <c r="E13" s="108" t="str">
        <f>DAY(X13+tzOffset/24)&amp;" "&amp;VLOOKUP("month_"&amp;MONTH(X13+tzOffset/24),langTable,MATCH(langName,_lang!$A$1:$F$1,0),FALSE())</f>
        <v>12 Jun</v>
      </c>
      <c r="F13" s="108" t="str">
        <f>VLOOKUP("dow_"&amp;IF(WEEKDAY(X13+tzOffset/24,2)=0,7,WEEKDAY(X13+tzOffset/24,2)),langTable,MATCH(langName,_lang!$A$1:$F$1,0),FALSE())</f>
        <v>Fri</v>
      </c>
      <c r="G13" s="108" t="str">
        <f t="shared" si="0"/>
        <v>03:00</v>
      </c>
      <c r="H13" s="112" t="s">
        <v>7</v>
      </c>
      <c r="I13" s="113" t="s">
        <v>11</v>
      </c>
      <c r="J13" s="117" t="s">
        <v>12</v>
      </c>
      <c r="K13" s="114" t="s">
        <v>13</v>
      </c>
      <c r="L13" s="109" t="str">
        <f t="shared" si="1"/>
        <v>Zapopan (Guadalajara)</v>
      </c>
      <c r="M13" s="110">
        <f t="shared" si="2"/>
        <v>48071</v>
      </c>
      <c r="N13" s="258"/>
      <c r="O13" s="259"/>
      <c r="P13" s="260"/>
      <c r="Q13" s="260"/>
      <c r="R13" s="154">
        <f t="shared" si="3"/>
        <v>0</v>
      </c>
      <c r="S13" s="155">
        <f t="shared" si="4"/>
        <v>0</v>
      </c>
      <c r="T13" s="119">
        <f t="shared" si="5"/>
        <v>0</v>
      </c>
      <c r="U13" s="140" t="str">
        <f>IF(T13=1,IF(R13&gt;S13,I13&amp;VLOOKUP("win_suffix",langTable,MATCH(langName,_lang!$A$1:$F$1,0),FALSE()),IF(R13&lt;S13,J13&amp;VLOOKUP("win_suffix",langTable,MATCH(langName,_lang!$A$1:$F$1,0),FALSE()),VLOOKUP("draw",langTable,MATCH(langName,_lang!$A$1:$F$1,0),FALSE()))),"")</f>
        <v/>
      </c>
      <c r="V13" s="138" t="str">
        <f>IF(AND(tzCode="UK",langCode="EN"),IF(1,"ITV","BBC"),"")</f>
        <v>ITV</v>
      </c>
      <c r="W13" s="139" t="str">
        <f>VLOOKUP("pens_na",langTable,MATCH(langName,_lang!$A$1:$F$1,0),FALSE())</f>
        <v>N/A</v>
      </c>
      <c r="X13" s="58">
        <v>46185.083333333343</v>
      </c>
      <c r="Y13" s="45"/>
      <c r="Z13" s="45"/>
      <c r="AA13" s="59">
        <f t="shared" ca="1" si="6"/>
        <v>2</v>
      </c>
      <c r="AB13" s="231"/>
      <c r="AC13" s="60" t="str">
        <f>IF(OR(AD13="",AE13="",LEFT(I13,3)="TBC",LEFT(J13,3)="TBC"),"",IFERROR(IF(COUNTIF(_h2h!$H$2:$H$94,AF13)=0,VLOOKUP("h2h_none",langTable,MATCH(langName,_lang!$A$1:$F$1,0),FALSE),IF(COUNTIF(_h2h!$H$2:$H$94,AF13)=1,"Met once · "&amp;INDEX(_h2h!$I$2:$I$94,MATCH(AF13,_h2h!$H$2:$H$94,0)),"Met "&amp;COUNTIF(_h2h!$H$2:$H$94,AF13)&amp;"× · last: "&amp;INDEX(_h2h!$I$2:$I$94,MATCH(AF13,_h2h!$H$2:$H$94,0)))),""))</f>
        <v>First WC meeting</v>
      </c>
      <c r="AD13" s="47" t="str">
        <f t="shared" si="7"/>
        <v>South Korea</v>
      </c>
      <c r="AE13" s="47" t="str">
        <f t="shared" si="8"/>
        <v>Czech Republic</v>
      </c>
      <c r="AF13" s="47" t="str">
        <f t="shared" si="9"/>
        <v>Czech Republic|South Korea</v>
      </c>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row>
    <row r="14" spans="1:59" ht="15" customHeight="1">
      <c r="B14" s="57"/>
      <c r="C14" s="230"/>
      <c r="D14" s="112">
        <v>3</v>
      </c>
      <c r="E14" s="108" t="str">
        <f>DAY(X14+tzOffset/24)&amp;" "&amp;VLOOKUP("month_"&amp;MONTH(X14+tzOffset/24),langTable,MATCH(langName,_lang!$A$1:$F$1,0),FALSE())</f>
        <v>12 Jun</v>
      </c>
      <c r="F14" s="108" t="str">
        <f>VLOOKUP("dow_"&amp;IF(WEEKDAY(X14+tzOffset/24,2)=0,7,WEEKDAY(X14+tzOffset/24,2)),langTable,MATCH(langName,_lang!$A$1:$F$1,0),FALSE())</f>
        <v>Fri</v>
      </c>
      <c r="G14" s="108" t="str">
        <f t="shared" si="0"/>
        <v>20:00</v>
      </c>
      <c r="H14" s="112" t="s">
        <v>14</v>
      </c>
      <c r="I14" s="113" t="s">
        <v>15</v>
      </c>
      <c r="J14" s="117" t="s">
        <v>16</v>
      </c>
      <c r="K14" s="114" t="s">
        <v>17</v>
      </c>
      <c r="L14" s="109" t="str">
        <f t="shared" si="1"/>
        <v>Toronto</v>
      </c>
      <c r="M14" s="110">
        <f t="shared" si="2"/>
        <v>45736</v>
      </c>
      <c r="N14" s="258"/>
      <c r="O14" s="259"/>
      <c r="P14" s="260"/>
      <c r="Q14" s="260"/>
      <c r="R14" s="154">
        <f t="shared" si="3"/>
        <v>0</v>
      </c>
      <c r="S14" s="155">
        <f t="shared" si="4"/>
        <v>0</v>
      </c>
      <c r="T14" s="119">
        <f t="shared" si="5"/>
        <v>0</v>
      </c>
      <c r="U14" s="140" t="str">
        <f>IF(T14=1,IF(R14&gt;S14,I14&amp;VLOOKUP("win_suffix",langTable,MATCH(langName,_lang!$A$1:$F$1,0),FALSE()),IF(R14&lt;S14,J14&amp;VLOOKUP("win_suffix",langTable,MATCH(langName,_lang!$A$1:$F$1,0),FALSE()),VLOOKUP("draw",langTable,MATCH(langName,_lang!$A$1:$F$1,0),FALSE()))),"")</f>
        <v/>
      </c>
      <c r="V14" s="138" t="str">
        <f>IF(AND(tzCode="UK",langCode="EN"),IF(0,"ITV","BBC"),"")</f>
        <v>BBC</v>
      </c>
      <c r="W14" s="139" t="str">
        <f>VLOOKUP("pens_na",langTable,MATCH(langName,_lang!$A$1:$F$1,0),FALSE())</f>
        <v>N/A</v>
      </c>
      <c r="X14" s="58">
        <v>46185.791666666657</v>
      </c>
      <c r="Y14" s="45"/>
      <c r="Z14" s="45"/>
      <c r="AA14" s="59">
        <f t="shared" ca="1" si="6"/>
        <v>3</v>
      </c>
      <c r="AB14" s="231"/>
      <c r="AC14" s="60" t="str">
        <f>IF(OR(AD14="",AE14="",LEFT(I14,3)="TBC",LEFT(J14,3)="TBC"),"",IFERROR(IF(COUNTIF(_h2h!$H$2:$H$94,AF14)=0,VLOOKUP("h2h_none",langTable,MATCH(langName,_lang!$A$1:$F$1,0),FALSE),IF(COUNTIF(_h2h!$H$2:$H$94,AF14)=1,"Met once · "&amp;INDEX(_h2h!$I$2:$I$94,MATCH(AF14,_h2h!$H$2:$H$94,0)),"Met "&amp;COUNTIF(_h2h!$H$2:$H$94,AF14)&amp;"× · last: "&amp;INDEX(_h2h!$I$2:$I$94,MATCH(AF14,_h2h!$H$2:$H$94,0)))),""))</f>
        <v>First WC meeting</v>
      </c>
      <c r="AD14" s="47" t="str">
        <f t="shared" si="7"/>
        <v>Canada</v>
      </c>
      <c r="AE14" s="47" t="str">
        <f t="shared" si="8"/>
        <v>Bosnia &amp; Herzegovina</v>
      </c>
      <c r="AF14" s="47" t="str">
        <f t="shared" si="9"/>
        <v>Bosnia &amp; Herzegovina|Canada</v>
      </c>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row>
    <row r="15" spans="1:59" ht="15" customHeight="1">
      <c r="B15" s="57"/>
      <c r="C15" s="230"/>
      <c r="D15" s="112">
        <v>4</v>
      </c>
      <c r="E15" s="108" t="str">
        <f>DAY(X15+tzOffset/24)&amp;" "&amp;VLOOKUP("month_"&amp;MONTH(X15+tzOffset/24),langTable,MATCH(langName,_lang!$A$1:$F$1,0),FALSE())</f>
        <v>13 Jun</v>
      </c>
      <c r="F15" s="108" t="str">
        <f>VLOOKUP("dow_"&amp;IF(WEEKDAY(X15+tzOffset/24,2)=0,7,WEEKDAY(X15+tzOffset/24,2)),langTable,MATCH(langName,_lang!$A$1:$F$1,0),FALSE())</f>
        <v>Sat</v>
      </c>
      <c r="G15" s="108" t="str">
        <f t="shared" si="0"/>
        <v>02:00</v>
      </c>
      <c r="H15" s="112" t="s">
        <v>18</v>
      </c>
      <c r="I15" s="109" t="s">
        <v>19</v>
      </c>
      <c r="J15" s="116" t="s">
        <v>20</v>
      </c>
      <c r="K15" s="109" t="s">
        <v>21</v>
      </c>
      <c r="L15" s="109" t="str">
        <f t="shared" si="1"/>
        <v>Inglewood (Los Angeles)</v>
      </c>
      <c r="M15" s="110">
        <f t="shared" si="2"/>
        <v>70240</v>
      </c>
      <c r="N15" s="258"/>
      <c r="O15" s="259"/>
      <c r="P15" s="260"/>
      <c r="Q15" s="260"/>
      <c r="R15" s="154">
        <f t="shared" si="3"/>
        <v>0</v>
      </c>
      <c r="S15" s="155">
        <f t="shared" si="4"/>
        <v>0</v>
      </c>
      <c r="T15" s="119">
        <f t="shared" si="5"/>
        <v>0</v>
      </c>
      <c r="U15" s="140" t="str">
        <f>IF(T15=1,IF(R15&gt;S15,I15&amp;VLOOKUP("win_suffix",langTable,MATCH(langName,_lang!$A$1:$F$1,0),FALSE()),IF(R15&lt;S15,J15&amp;VLOOKUP("win_suffix",langTable,MATCH(langName,_lang!$A$1:$F$1,0),FALSE()),VLOOKUP("draw",langTable,MATCH(langName,_lang!$A$1:$F$1,0),FALSE()))),"")</f>
        <v/>
      </c>
      <c r="V15" s="138" t="str">
        <f>IF(AND(tzCode="UK",langCode="EN"),IF(0,"ITV","BBC"),"")</f>
        <v>BBC</v>
      </c>
      <c r="W15" s="139" t="str">
        <f>VLOOKUP("pens_na",langTable,MATCH(langName,_lang!$A$1:$F$1,0),FALSE())</f>
        <v>N/A</v>
      </c>
      <c r="X15" s="58">
        <v>46186.041666666657</v>
      </c>
      <c r="Y15" s="45"/>
      <c r="Z15" s="45"/>
      <c r="AA15" s="59">
        <f t="shared" ca="1" si="6"/>
        <v>4</v>
      </c>
      <c r="AB15" s="231"/>
      <c r="AC15" s="60" t="str">
        <f>IF(OR(AD15="",AE15="",LEFT(I15,3)="TBC",LEFT(J15,3)="TBC"),"",IFERROR(IF(COUNTIF(_h2h!$H$2:$H$94,AF15)=0,VLOOKUP("h2h_none",langTable,MATCH(langName,_lang!$A$1:$F$1,0),FALSE),IF(COUNTIF(_h2h!$H$2:$H$94,AF15)=1,"Met once · "&amp;INDEX(_h2h!$I$2:$I$94,MATCH(AF15,_h2h!$H$2:$H$94,0)),"Met "&amp;COUNTIF(_h2h!$H$2:$H$94,AF15)&amp;"× · last: "&amp;INDEX(_h2h!$I$2:$I$94,MATCH(AF15,_h2h!$H$2:$H$94,0)))),""))</f>
        <v>First WC meeting</v>
      </c>
      <c r="AD15" s="47" t="str">
        <f t="shared" si="7"/>
        <v>USA</v>
      </c>
      <c r="AE15" s="47" t="str">
        <f t="shared" si="8"/>
        <v>Paraguay</v>
      </c>
      <c r="AF15" s="47" t="str">
        <f t="shared" si="9"/>
        <v>Paraguay|USA</v>
      </c>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row>
    <row r="16" spans="1:59" ht="15" customHeight="1">
      <c r="B16" s="57"/>
      <c r="C16" s="230"/>
      <c r="D16" s="112">
        <v>5</v>
      </c>
      <c r="E16" s="108" t="str">
        <f>DAY(X16+tzOffset/24)&amp;" "&amp;VLOOKUP("month_"&amp;MONTH(X16+tzOffset/24),langTable,MATCH(langName,_lang!$A$1:$F$1,0),FALSE())</f>
        <v>13 Jun</v>
      </c>
      <c r="F16" s="108" t="str">
        <f>VLOOKUP("dow_"&amp;IF(WEEKDAY(X16+tzOffset/24,2)=0,7,WEEKDAY(X16+tzOffset/24,2)),langTable,MATCH(langName,_lang!$A$1:$F$1,0),FALSE())</f>
        <v>Sat</v>
      </c>
      <c r="G16" s="108" t="str">
        <f t="shared" si="0"/>
        <v>20:00</v>
      </c>
      <c r="H16" s="112" t="s">
        <v>14</v>
      </c>
      <c r="I16" s="109" t="s">
        <v>22</v>
      </c>
      <c r="J16" s="109" t="s">
        <v>23</v>
      </c>
      <c r="K16" s="109" t="s">
        <v>24</v>
      </c>
      <c r="L16" s="109" t="str">
        <f t="shared" si="1"/>
        <v>Santa Clara (SF Bay Area)</v>
      </c>
      <c r="M16" s="110">
        <f t="shared" si="2"/>
        <v>70909</v>
      </c>
      <c r="N16" s="258"/>
      <c r="O16" s="259"/>
      <c r="P16" s="260"/>
      <c r="Q16" s="260"/>
      <c r="R16" s="154">
        <f t="shared" si="3"/>
        <v>0</v>
      </c>
      <c r="S16" s="155">
        <f t="shared" si="4"/>
        <v>0</v>
      </c>
      <c r="T16" s="119">
        <f t="shared" si="5"/>
        <v>0</v>
      </c>
      <c r="U16" s="140" t="str">
        <f>IF(T16=1,IF(R16&gt;S16,I16&amp;VLOOKUP("win_suffix",langTable,MATCH(langName,_lang!$A$1:$F$1,0),FALSE()),IF(R16&lt;S16,J16&amp;VLOOKUP("win_suffix",langTable,MATCH(langName,_lang!$A$1:$F$1,0),FALSE()),VLOOKUP("draw",langTable,MATCH(langName,_lang!$A$1:$F$1,0),FALSE()))),"")</f>
        <v/>
      </c>
      <c r="V16" s="138" t="str">
        <f>IF(AND(tzCode="UK",langCode="EN"),IF(1,"ITV","BBC"),"")</f>
        <v>ITV</v>
      </c>
      <c r="W16" s="139" t="str">
        <f>VLOOKUP("pens_na",langTable,MATCH(langName,_lang!$A$1:$F$1,0),FALSE())</f>
        <v>N/A</v>
      </c>
      <c r="X16" s="58">
        <v>46186.791666666657</v>
      </c>
      <c r="Y16" s="45"/>
      <c r="Z16" s="45"/>
      <c r="AA16" s="59">
        <f t="shared" ca="1" si="6"/>
        <v>5</v>
      </c>
      <c r="AB16" s="231"/>
      <c r="AC16" s="60" t="str">
        <f>IF(OR(AD16="",AE16="",LEFT(I16,3)="TBC",LEFT(J16,3)="TBC"),"",IFERROR(IF(COUNTIF(_h2h!$H$2:$H$94,AF16)=0,VLOOKUP("h2h_none",langTable,MATCH(langName,_lang!$A$1:$F$1,0),FALSE),IF(COUNTIF(_h2h!$H$2:$H$94,AF16)=1,"Met once · "&amp;INDEX(_h2h!$I$2:$I$94,MATCH(AF16,_h2h!$H$2:$H$94,0)),"Met "&amp;COUNTIF(_h2h!$H$2:$H$94,AF16)&amp;"× · last: "&amp;INDEX(_h2h!$I$2:$I$94,MATCH(AF16,_h2h!$H$2:$H$94,0)))),""))</f>
        <v>First WC meeting</v>
      </c>
      <c r="AD16" s="47" t="str">
        <f t="shared" si="7"/>
        <v>Qatar</v>
      </c>
      <c r="AE16" s="47" t="str">
        <f t="shared" si="8"/>
        <v>Switzerland</v>
      </c>
      <c r="AF16" s="47" t="str">
        <f t="shared" si="9"/>
        <v>Qatar|Switzerland</v>
      </c>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row>
    <row r="17" spans="2:59" ht="15" customHeight="1">
      <c r="B17" s="57"/>
      <c r="C17" s="230"/>
      <c r="D17" s="112">
        <v>6</v>
      </c>
      <c r="E17" s="108" t="str">
        <f>DAY(X17+tzOffset/24)&amp;" "&amp;VLOOKUP("month_"&amp;MONTH(X17+tzOffset/24),langTable,MATCH(langName,_lang!$A$1:$F$1,0),FALSE())</f>
        <v>13 Jun</v>
      </c>
      <c r="F17" s="108" t="str">
        <f>VLOOKUP("dow_"&amp;IF(WEEKDAY(X17+tzOffset/24,2)=0,7,WEEKDAY(X17+tzOffset/24,2)),langTable,MATCH(langName,_lang!$A$1:$F$1,0),FALSE())</f>
        <v>Sat</v>
      </c>
      <c r="G17" s="108" t="str">
        <f t="shared" si="0"/>
        <v>23:00</v>
      </c>
      <c r="H17" s="112" t="s">
        <v>25</v>
      </c>
      <c r="I17" s="109" t="s">
        <v>26</v>
      </c>
      <c r="J17" s="109" t="s">
        <v>27</v>
      </c>
      <c r="K17" s="109" t="s">
        <v>28</v>
      </c>
      <c r="L17" s="109" t="str">
        <f t="shared" si="1"/>
        <v>East Rutherford (NY/NJ)</v>
      </c>
      <c r="M17" s="110">
        <f t="shared" si="2"/>
        <v>82500</v>
      </c>
      <c r="N17" s="258"/>
      <c r="O17" s="259"/>
      <c r="P17" s="260"/>
      <c r="Q17" s="260"/>
      <c r="R17" s="154">
        <f t="shared" si="3"/>
        <v>0</v>
      </c>
      <c r="S17" s="155">
        <f t="shared" si="4"/>
        <v>0</v>
      </c>
      <c r="T17" s="119">
        <f t="shared" si="5"/>
        <v>0</v>
      </c>
      <c r="U17" s="140" t="str">
        <f>IF(T17=1,IF(R17&gt;S17,I17&amp;VLOOKUP("win_suffix",langTable,MATCH(langName,_lang!$A$1:$F$1,0),FALSE()),IF(R17&lt;S17,J17&amp;VLOOKUP("win_suffix",langTable,MATCH(langName,_lang!$A$1:$F$1,0),FALSE()),VLOOKUP("draw",langTable,MATCH(langName,_lang!$A$1:$F$1,0),FALSE()))),"")</f>
        <v/>
      </c>
      <c r="V17" s="138" t="str">
        <f>IF(AND(tzCode="UK",langCode="EN"),IF(0,"ITV","BBC"),"")</f>
        <v>BBC</v>
      </c>
      <c r="W17" s="139" t="str">
        <f>VLOOKUP("pens_na",langTable,MATCH(langName,_lang!$A$1:$F$1,0),FALSE())</f>
        <v>N/A</v>
      </c>
      <c r="X17" s="58">
        <v>46186.916666666657</v>
      </c>
      <c r="Y17" s="45"/>
      <c r="Z17" s="45"/>
      <c r="AA17" s="59">
        <f t="shared" ca="1" si="6"/>
        <v>6</v>
      </c>
      <c r="AB17" s="231"/>
      <c r="AC17" s="60" t="str">
        <f>IF(OR(AD17="",AE17="",LEFT(I17,3)="TBC",LEFT(J17,3)="TBC"),"",IFERROR(IF(COUNTIF(_h2h!$H$2:$H$94,AF17)=0,VLOOKUP("h2h_none",langTable,MATCH(langName,_lang!$A$1:$F$1,0),FALSE),IF(COUNTIF(_h2h!$H$2:$H$94,AF17)=1,"Met once · "&amp;INDEX(_h2h!$I$2:$I$94,MATCH(AF17,_h2h!$H$2:$H$94,0)),"Met "&amp;COUNTIF(_h2h!$H$2:$H$94,AF17)&amp;"× · last: "&amp;INDEX(_h2h!$I$2:$I$94,MATCH(AF17,_h2h!$H$2:$H$94,0)))),""))</f>
        <v>Met once · 1998 Group: Brazil 3-0 Morocco</v>
      </c>
      <c r="AD17" s="47" t="str">
        <f t="shared" si="7"/>
        <v>Brazil</v>
      </c>
      <c r="AE17" s="47" t="str">
        <f t="shared" si="8"/>
        <v>Morocco</v>
      </c>
      <c r="AF17" s="47" t="str">
        <f t="shared" si="9"/>
        <v>Brazil|Morocco</v>
      </c>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row>
    <row r="18" spans="2:59" ht="15" customHeight="1">
      <c r="B18" s="57"/>
      <c r="C18" s="230"/>
      <c r="D18" s="112">
        <v>7</v>
      </c>
      <c r="E18" s="108" t="str">
        <f>DAY(X18+tzOffset/24)&amp;" "&amp;VLOOKUP("month_"&amp;MONTH(X18+tzOffset/24),langTable,MATCH(langName,_lang!$A$1:$F$1,0),FALSE())</f>
        <v>14 Jun</v>
      </c>
      <c r="F18" s="108" t="str">
        <f>VLOOKUP("dow_"&amp;IF(WEEKDAY(X18+tzOffset/24,2)=0,7,WEEKDAY(X18+tzOffset/24,2)),langTable,MATCH(langName,_lang!$A$1:$F$1,0),FALSE())</f>
        <v>Sun</v>
      </c>
      <c r="G18" s="108" t="str">
        <f t="shared" si="0"/>
        <v>02:00</v>
      </c>
      <c r="H18" s="112" t="s">
        <v>25</v>
      </c>
      <c r="I18" s="109" t="s">
        <v>29</v>
      </c>
      <c r="J18" s="109" t="s">
        <v>30</v>
      </c>
      <c r="K18" s="109" t="s">
        <v>31</v>
      </c>
      <c r="L18" s="109" t="str">
        <f t="shared" si="1"/>
        <v>Foxborough (Boston)</v>
      </c>
      <c r="M18" s="110">
        <f t="shared" si="2"/>
        <v>64628</v>
      </c>
      <c r="N18" s="258"/>
      <c r="O18" s="259"/>
      <c r="P18" s="260"/>
      <c r="Q18" s="260"/>
      <c r="R18" s="154">
        <f t="shared" si="3"/>
        <v>0</v>
      </c>
      <c r="S18" s="155">
        <f t="shared" si="4"/>
        <v>0</v>
      </c>
      <c r="T18" s="119">
        <f t="shared" si="5"/>
        <v>0</v>
      </c>
      <c r="U18" s="140" t="str">
        <f>IF(T18=1,IF(R18&gt;S18,I18&amp;VLOOKUP("win_suffix",langTable,MATCH(langName,_lang!$A$1:$F$1,0),FALSE()),IF(R18&lt;S18,J18&amp;VLOOKUP("win_suffix",langTable,MATCH(langName,_lang!$A$1:$F$1,0),FALSE()),VLOOKUP("draw",langTable,MATCH(langName,_lang!$A$1:$F$1,0),FALSE()))),"")</f>
        <v/>
      </c>
      <c r="V18" s="138" t="str">
        <f>IF(AND(tzCode="UK",langCode="EN"),IF(0,"ITV","BBC"),"")</f>
        <v>BBC</v>
      </c>
      <c r="W18" s="139" t="str">
        <f>VLOOKUP("pens_na",langTable,MATCH(langName,_lang!$A$1:$F$1,0),FALSE())</f>
        <v>N/A</v>
      </c>
      <c r="X18" s="58">
        <v>46187.041666666657</v>
      </c>
      <c r="Y18" s="45"/>
      <c r="Z18" s="45"/>
      <c r="AA18" s="59">
        <f t="shared" ca="1" si="6"/>
        <v>7</v>
      </c>
      <c r="AB18" s="231"/>
      <c r="AC18" s="60" t="str">
        <f>IF(OR(AD18="",AE18="",LEFT(I18,3)="TBC",LEFT(J18,3)="TBC"),"",IFERROR(IF(COUNTIF(_h2h!$H$2:$H$94,AF18)=0,VLOOKUP("h2h_none",langTable,MATCH(langName,_lang!$A$1:$F$1,0),FALSE),IF(COUNTIF(_h2h!$H$2:$H$94,AF18)=1,"Met once · "&amp;INDEX(_h2h!$I$2:$I$94,MATCH(AF18,_h2h!$H$2:$H$94,0)),"Met "&amp;COUNTIF(_h2h!$H$2:$H$94,AF18)&amp;"× · last: "&amp;INDEX(_h2h!$I$2:$I$94,MATCH(AF18,_h2h!$H$2:$H$94,0)))),""))</f>
        <v>First WC meeting</v>
      </c>
      <c r="AD18" s="47" t="str">
        <f t="shared" si="7"/>
        <v>Haiti</v>
      </c>
      <c r="AE18" s="47" t="str">
        <f t="shared" si="8"/>
        <v>Scotland</v>
      </c>
      <c r="AF18" s="47" t="str">
        <f t="shared" si="9"/>
        <v>Haiti|Scotland</v>
      </c>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2:59" ht="15" customHeight="1">
      <c r="B19" s="57"/>
      <c r="C19" s="230"/>
      <c r="D19" s="112">
        <v>8</v>
      </c>
      <c r="E19" s="108" t="str">
        <f>DAY(X19+tzOffset/24)&amp;" "&amp;VLOOKUP("month_"&amp;MONTH(X19+tzOffset/24),langTable,MATCH(langName,_lang!$A$1:$F$1,0),FALSE())</f>
        <v>14 Jun</v>
      </c>
      <c r="F19" s="108" t="str">
        <f>VLOOKUP("dow_"&amp;IF(WEEKDAY(X19+tzOffset/24,2)=0,7,WEEKDAY(X19+tzOffset/24,2)),langTable,MATCH(langName,_lang!$A$1:$F$1,0),FALSE())</f>
        <v>Sun</v>
      </c>
      <c r="G19" s="108" t="str">
        <f t="shared" si="0"/>
        <v>17:00</v>
      </c>
      <c r="H19" s="112" t="s">
        <v>18</v>
      </c>
      <c r="I19" s="109" t="s">
        <v>32</v>
      </c>
      <c r="J19" s="109" t="s">
        <v>33</v>
      </c>
      <c r="K19" s="109" t="s">
        <v>34</v>
      </c>
      <c r="L19" s="109" t="str">
        <f t="shared" si="1"/>
        <v>Vancouver</v>
      </c>
      <c r="M19" s="110">
        <f t="shared" si="2"/>
        <v>54500</v>
      </c>
      <c r="N19" s="258"/>
      <c r="O19" s="259"/>
      <c r="P19" s="260"/>
      <c r="Q19" s="260"/>
      <c r="R19" s="154">
        <f t="shared" si="3"/>
        <v>0</v>
      </c>
      <c r="S19" s="155">
        <f t="shared" si="4"/>
        <v>0</v>
      </c>
      <c r="T19" s="119">
        <f t="shared" si="5"/>
        <v>0</v>
      </c>
      <c r="U19" s="140" t="str">
        <f>IF(T19=1,IF(R19&gt;S19,I19&amp;VLOOKUP("win_suffix",langTable,MATCH(langName,_lang!$A$1:$F$1,0),FALSE()),IF(R19&lt;S19,J19&amp;VLOOKUP("win_suffix",langTable,MATCH(langName,_lang!$A$1:$F$1,0),FALSE()),VLOOKUP("draw",langTable,MATCH(langName,_lang!$A$1:$F$1,0),FALSE()))),"")</f>
        <v/>
      </c>
      <c r="V19" s="138" t="str">
        <f>IF(AND(tzCode="UK",langCode="EN"),IF(1,"ITV","BBC"),"")</f>
        <v>ITV</v>
      </c>
      <c r="W19" s="139" t="str">
        <f>VLOOKUP("pens_na",langTable,MATCH(langName,_lang!$A$1:$F$1,0),FALSE())</f>
        <v>N/A</v>
      </c>
      <c r="X19" s="58">
        <v>46187.666666666657</v>
      </c>
      <c r="Y19" s="45"/>
      <c r="Z19" s="45"/>
      <c r="AA19" s="59">
        <f t="shared" ca="1" si="6"/>
        <v>8</v>
      </c>
      <c r="AB19" s="231"/>
      <c r="AC19" s="60" t="str">
        <f>IF(OR(AD19="",AE19="",LEFT(I19,3)="TBC",LEFT(J19,3)="TBC"),"",IFERROR(IF(COUNTIF(_h2h!$H$2:$H$94,AF19)=0,VLOOKUP("h2h_none",langTable,MATCH(langName,_lang!$A$1:$F$1,0),FALSE),IF(COUNTIF(_h2h!$H$2:$H$94,AF19)=1,"Met once · "&amp;INDEX(_h2h!$I$2:$I$94,MATCH(AF19,_h2h!$H$2:$H$94,0)),"Met "&amp;COUNTIF(_h2h!$H$2:$H$94,AF19)&amp;"× · last: "&amp;INDEX(_h2h!$I$2:$I$94,MATCH(AF19,_h2h!$H$2:$H$94,0)))),""))</f>
        <v>First WC meeting</v>
      </c>
      <c r="AD19" s="47" t="str">
        <f t="shared" si="7"/>
        <v>Australia</v>
      </c>
      <c r="AE19" s="47" t="str">
        <f t="shared" si="8"/>
        <v>Turkey</v>
      </c>
      <c r="AF19" s="47" t="str">
        <f t="shared" si="9"/>
        <v>Australia|Turkey</v>
      </c>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2:59" ht="15" customHeight="1">
      <c r="B20" s="57"/>
      <c r="C20" s="230"/>
      <c r="D20" s="112">
        <v>9</v>
      </c>
      <c r="E20" s="108" t="str">
        <f>DAY(X20+tzOffset/24)&amp;" "&amp;VLOOKUP("month_"&amp;MONTH(X20+tzOffset/24),langTable,MATCH(langName,_lang!$A$1:$F$1,0),FALSE())</f>
        <v>14 Jun</v>
      </c>
      <c r="F20" s="108" t="str">
        <f>VLOOKUP("dow_"&amp;IF(WEEKDAY(X20+tzOffset/24,2)=0,7,WEEKDAY(X20+tzOffset/24,2)),langTable,MATCH(langName,_lang!$A$1:$F$1,0),FALSE())</f>
        <v>Sun</v>
      </c>
      <c r="G20" s="108" t="str">
        <f t="shared" si="0"/>
        <v>18:00</v>
      </c>
      <c r="H20" s="112" t="s">
        <v>35</v>
      </c>
      <c r="I20" s="109" t="s">
        <v>36</v>
      </c>
      <c r="J20" s="109" t="s">
        <v>37</v>
      </c>
      <c r="K20" s="109" t="s">
        <v>38</v>
      </c>
      <c r="L20" s="109" t="str">
        <f t="shared" si="1"/>
        <v>Houston</v>
      </c>
      <c r="M20" s="110">
        <f t="shared" si="2"/>
        <v>72220</v>
      </c>
      <c r="N20" s="258"/>
      <c r="O20" s="259"/>
      <c r="P20" s="260"/>
      <c r="Q20" s="260"/>
      <c r="R20" s="154">
        <f t="shared" si="3"/>
        <v>0</v>
      </c>
      <c r="S20" s="155">
        <f t="shared" si="4"/>
        <v>0</v>
      </c>
      <c r="T20" s="119">
        <f t="shared" si="5"/>
        <v>0</v>
      </c>
      <c r="U20" s="140" t="str">
        <f>IF(T20=1,IF(R20&gt;S20,I20&amp;VLOOKUP("win_suffix",langTable,MATCH(langName,_lang!$A$1:$F$1,0),FALSE()),IF(R20&lt;S20,J20&amp;VLOOKUP("win_suffix",langTable,MATCH(langName,_lang!$A$1:$F$1,0),FALSE()),VLOOKUP("draw",langTable,MATCH(langName,_lang!$A$1:$F$1,0),FALSE()))),"")</f>
        <v/>
      </c>
      <c r="V20" s="138" t="str">
        <f>IF(AND(tzCode="UK",langCode="EN"),IF(1,"ITV","BBC"),"")</f>
        <v>ITV</v>
      </c>
      <c r="W20" s="139" t="str">
        <f>VLOOKUP("pens_na",langTable,MATCH(langName,_lang!$A$1:$F$1,0),FALSE())</f>
        <v>N/A</v>
      </c>
      <c r="X20" s="58">
        <v>46187.708333333343</v>
      </c>
      <c r="Y20" s="45"/>
      <c r="Z20" s="45"/>
      <c r="AA20" s="59">
        <f t="shared" ca="1" si="6"/>
        <v>9</v>
      </c>
      <c r="AB20" s="231"/>
      <c r="AC20" s="60" t="str">
        <f>IF(OR(AD20="",AE20="",LEFT(I20,3)="TBC",LEFT(J20,3)="TBC"),"",IFERROR(IF(COUNTIF(_h2h!$H$2:$H$94,AF20)=0,VLOOKUP("h2h_none",langTable,MATCH(langName,_lang!$A$1:$F$1,0),FALSE),IF(COUNTIF(_h2h!$H$2:$H$94,AF20)=1,"Met once · "&amp;INDEX(_h2h!$I$2:$I$94,MATCH(AF20,_h2h!$H$2:$H$94,0)),"Met "&amp;COUNTIF(_h2h!$H$2:$H$94,AF20)&amp;"× · last: "&amp;INDEX(_h2h!$I$2:$I$94,MATCH(AF20,_h2h!$H$2:$H$94,0)))),""))</f>
        <v>First WC meeting</v>
      </c>
      <c r="AD20" s="47" t="str">
        <f t="shared" si="7"/>
        <v>Germany</v>
      </c>
      <c r="AE20" s="47" t="str">
        <f t="shared" si="8"/>
        <v>Curaçao</v>
      </c>
      <c r="AF20" s="47" t="str">
        <f t="shared" si="9"/>
        <v>Curaçao|Germany</v>
      </c>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2:59" ht="15" customHeight="1">
      <c r="B21" s="57"/>
      <c r="C21" s="230"/>
      <c r="D21" s="112">
        <v>10</v>
      </c>
      <c r="E21" s="108" t="str">
        <f>DAY(X21+tzOffset/24)&amp;" "&amp;VLOOKUP("month_"&amp;MONTH(X21+tzOffset/24),langTable,MATCH(langName,_lang!$A$1:$F$1,0),FALSE())</f>
        <v>14 Jun</v>
      </c>
      <c r="F21" s="108" t="str">
        <f>VLOOKUP("dow_"&amp;IF(WEEKDAY(X21+tzOffset/24,2)=0,7,WEEKDAY(X21+tzOffset/24,2)),langTable,MATCH(langName,_lang!$A$1:$F$1,0),FALSE())</f>
        <v>Sun</v>
      </c>
      <c r="G21" s="108" t="str">
        <f t="shared" si="0"/>
        <v>21:00</v>
      </c>
      <c r="H21" s="112" t="s">
        <v>39</v>
      </c>
      <c r="I21" s="109" t="s">
        <v>40</v>
      </c>
      <c r="J21" s="109" t="s">
        <v>41</v>
      </c>
      <c r="K21" s="109" t="s">
        <v>42</v>
      </c>
      <c r="L21" s="109" t="str">
        <f t="shared" si="1"/>
        <v>Arlington (Dallas)</v>
      </c>
      <c r="M21" s="110">
        <f t="shared" si="2"/>
        <v>92967</v>
      </c>
      <c r="N21" s="258"/>
      <c r="O21" s="259"/>
      <c r="P21" s="260"/>
      <c r="Q21" s="260"/>
      <c r="R21" s="154">
        <f t="shared" si="3"/>
        <v>0</v>
      </c>
      <c r="S21" s="155">
        <f t="shared" si="4"/>
        <v>0</v>
      </c>
      <c r="T21" s="119">
        <f t="shared" si="5"/>
        <v>0</v>
      </c>
      <c r="U21" s="140" t="str">
        <f>IF(T21=1,IF(R21&gt;S21,I21&amp;VLOOKUP("win_suffix",langTable,MATCH(langName,_lang!$A$1:$F$1,0),FALSE()),IF(R21&lt;S21,J21&amp;VLOOKUP("win_suffix",langTable,MATCH(langName,_lang!$A$1:$F$1,0),FALSE()),VLOOKUP("draw",langTable,MATCH(langName,_lang!$A$1:$F$1,0),FALSE()))),"")</f>
        <v/>
      </c>
      <c r="V21" s="138" t="str">
        <f>IF(AND(tzCode="UK",langCode="EN"),IF(1,"ITV","BBC"),"")</f>
        <v>ITV</v>
      </c>
      <c r="W21" s="139" t="str">
        <f>VLOOKUP("pens_na",langTable,MATCH(langName,_lang!$A$1:$F$1,0),FALSE())</f>
        <v>N/A</v>
      </c>
      <c r="X21" s="58">
        <v>46187.833333333343</v>
      </c>
      <c r="Y21" s="45"/>
      <c r="Z21" s="45"/>
      <c r="AA21" s="59">
        <f t="shared" ca="1" si="6"/>
        <v>10</v>
      </c>
      <c r="AB21" s="231"/>
      <c r="AC21" s="60" t="str">
        <f>IF(OR(AD21="",AE21="",LEFT(I21,3)="TBC",LEFT(J21,3)="TBC"),"",IFERROR(IF(COUNTIF(_h2h!$H$2:$H$94,AF21)=0,VLOOKUP("h2h_none",langTable,MATCH(langName,_lang!$A$1:$F$1,0),FALSE),IF(COUNTIF(_h2h!$H$2:$H$94,AF21)=1,"Met once · "&amp;INDEX(_h2h!$I$2:$I$94,MATCH(AF21,_h2h!$H$2:$H$94,0)),"Met "&amp;COUNTIF(_h2h!$H$2:$H$94,AF21)&amp;"× · last: "&amp;INDEX(_h2h!$I$2:$I$94,MATCH(AF21,_h2h!$H$2:$H$94,0)))),""))</f>
        <v>First WC meeting</v>
      </c>
      <c r="AD21" s="47" t="str">
        <f t="shared" si="7"/>
        <v>Netherlands</v>
      </c>
      <c r="AE21" s="47" t="str">
        <f t="shared" si="8"/>
        <v>Japan</v>
      </c>
      <c r="AF21" s="47" t="str">
        <f t="shared" si="9"/>
        <v>Japan|Netherlands</v>
      </c>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2:59" ht="15" customHeight="1">
      <c r="B22" s="57"/>
      <c r="C22" s="230"/>
      <c r="D22" s="112">
        <v>11</v>
      </c>
      <c r="E22" s="108" t="str">
        <f>DAY(X22+tzOffset/24)&amp;" "&amp;VLOOKUP("month_"&amp;MONTH(X22+tzOffset/24),langTable,MATCH(langName,_lang!$A$1:$F$1,0),FALSE())</f>
        <v>15 Jun</v>
      </c>
      <c r="F22" s="108" t="str">
        <f>VLOOKUP("dow_"&amp;IF(WEEKDAY(X22+tzOffset/24,2)=0,7,WEEKDAY(X22+tzOffset/24,2)),langTable,MATCH(langName,_lang!$A$1:$F$1,0),FALSE())</f>
        <v>Mon</v>
      </c>
      <c r="G22" s="108" t="str">
        <f t="shared" si="0"/>
        <v>00:00</v>
      </c>
      <c r="H22" s="112" t="s">
        <v>35</v>
      </c>
      <c r="I22" s="109" t="s">
        <v>43</v>
      </c>
      <c r="J22" s="109" t="s">
        <v>44</v>
      </c>
      <c r="K22" s="109" t="s">
        <v>45</v>
      </c>
      <c r="L22" s="109" t="str">
        <f t="shared" si="1"/>
        <v>Philadelphia</v>
      </c>
      <c r="M22" s="110">
        <f t="shared" si="2"/>
        <v>69176</v>
      </c>
      <c r="N22" s="258"/>
      <c r="O22" s="259"/>
      <c r="P22" s="260"/>
      <c r="Q22" s="260"/>
      <c r="R22" s="154">
        <f t="shared" si="3"/>
        <v>0</v>
      </c>
      <c r="S22" s="155">
        <f t="shared" si="4"/>
        <v>0</v>
      </c>
      <c r="T22" s="119">
        <f t="shared" si="5"/>
        <v>0</v>
      </c>
      <c r="U22" s="140" t="str">
        <f>IF(T22=1,IF(R22&gt;S22,I22&amp;VLOOKUP("win_suffix",langTable,MATCH(langName,_lang!$A$1:$F$1,0),FALSE()),IF(R22&lt;S22,J22&amp;VLOOKUP("win_suffix",langTable,MATCH(langName,_lang!$A$1:$F$1,0),FALSE()),VLOOKUP("draw",langTable,MATCH(langName,_lang!$A$1:$F$1,0),FALSE()))),"")</f>
        <v/>
      </c>
      <c r="V22" s="138" t="str">
        <f>IF(AND(tzCode="UK",langCode="EN"),IF(0,"ITV","BBC"),"")</f>
        <v>BBC</v>
      </c>
      <c r="W22" s="139" t="str">
        <f>VLOOKUP("pens_na",langTable,MATCH(langName,_lang!$A$1:$F$1,0),FALSE())</f>
        <v>N/A</v>
      </c>
      <c r="X22" s="58">
        <v>46187.958333333343</v>
      </c>
      <c r="Y22" s="45"/>
      <c r="Z22" s="45"/>
      <c r="AA22" s="59">
        <f t="shared" ca="1" si="6"/>
        <v>11</v>
      </c>
      <c r="AB22" s="231"/>
      <c r="AC22" s="60" t="str">
        <f>IF(OR(AD22="",AE22="",LEFT(I22,3)="TBC",LEFT(J22,3)="TBC"),"",IFERROR(IF(COUNTIF(_h2h!$H$2:$H$94,AF22)=0,VLOOKUP("h2h_none",langTable,MATCH(langName,_lang!$A$1:$F$1,0),FALSE),IF(COUNTIF(_h2h!$H$2:$H$94,AF22)=1,"Met once · "&amp;INDEX(_h2h!$I$2:$I$94,MATCH(AF22,_h2h!$H$2:$H$94,0)),"Met "&amp;COUNTIF(_h2h!$H$2:$H$94,AF22)&amp;"× · last: "&amp;INDEX(_h2h!$I$2:$I$94,MATCH(AF22,_h2h!$H$2:$H$94,0)))),""))</f>
        <v>First WC meeting</v>
      </c>
      <c r="AD22" s="47" t="str">
        <f t="shared" si="7"/>
        <v>Ivory Coast</v>
      </c>
      <c r="AE22" s="47" t="str">
        <f t="shared" si="8"/>
        <v>Ecuador</v>
      </c>
      <c r="AF22" s="47" t="str">
        <f t="shared" si="9"/>
        <v>Ecuador|Ivory Coast</v>
      </c>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2:59" ht="15" customHeight="1">
      <c r="B23" s="57"/>
      <c r="C23" s="230"/>
      <c r="D23" s="112">
        <v>12</v>
      </c>
      <c r="E23" s="108" t="str">
        <f>DAY(X23+tzOffset/24)&amp;" "&amp;VLOOKUP("month_"&amp;MONTH(X23+tzOffset/24),langTable,MATCH(langName,_lang!$A$1:$F$1,0),FALSE())</f>
        <v>15 Jun</v>
      </c>
      <c r="F23" s="108" t="str">
        <f>VLOOKUP("dow_"&amp;IF(WEEKDAY(X23+tzOffset/24,2)=0,7,WEEKDAY(X23+tzOffset/24,2)),langTable,MATCH(langName,_lang!$A$1:$F$1,0),FALSE())</f>
        <v>Mon</v>
      </c>
      <c r="G23" s="108" t="str">
        <f t="shared" si="0"/>
        <v>03:00</v>
      </c>
      <c r="H23" s="112" t="s">
        <v>39</v>
      </c>
      <c r="I23" s="109" t="s">
        <v>46</v>
      </c>
      <c r="J23" s="109" t="s">
        <v>47</v>
      </c>
      <c r="K23" s="109" t="s">
        <v>48</v>
      </c>
      <c r="L23" s="109" t="str">
        <f t="shared" si="1"/>
        <v>Monterrey</v>
      </c>
      <c r="M23" s="110">
        <f t="shared" si="2"/>
        <v>53500</v>
      </c>
      <c r="N23" s="258"/>
      <c r="O23" s="259"/>
      <c r="P23" s="260"/>
      <c r="Q23" s="260"/>
      <c r="R23" s="154">
        <f t="shared" si="3"/>
        <v>0</v>
      </c>
      <c r="S23" s="155">
        <f t="shared" si="4"/>
        <v>0</v>
      </c>
      <c r="T23" s="119">
        <f t="shared" si="5"/>
        <v>0</v>
      </c>
      <c r="U23" s="140" t="str">
        <f>IF(T23=1,IF(R23&gt;S23,I23&amp;VLOOKUP("win_suffix",langTable,MATCH(langName,_lang!$A$1:$F$1,0),FALSE()),IF(R23&lt;S23,J23&amp;VLOOKUP("win_suffix",langTable,MATCH(langName,_lang!$A$1:$F$1,0),FALSE()),VLOOKUP("draw",langTable,MATCH(langName,_lang!$A$1:$F$1,0),FALSE()))),"")</f>
        <v/>
      </c>
      <c r="V23" s="138" t="str">
        <f>IF(AND(tzCode="UK",langCode="EN"),IF(1,"ITV","BBC"),"")</f>
        <v>ITV</v>
      </c>
      <c r="W23" s="139" t="str">
        <f>VLOOKUP("pens_na",langTable,MATCH(langName,_lang!$A$1:$F$1,0),FALSE())</f>
        <v>N/A</v>
      </c>
      <c r="X23" s="58">
        <v>46188.083333333343</v>
      </c>
      <c r="Y23" s="45"/>
      <c r="Z23" s="45"/>
      <c r="AA23" s="59">
        <f t="shared" ca="1" si="6"/>
        <v>12</v>
      </c>
      <c r="AB23" s="231"/>
      <c r="AC23" s="60" t="str">
        <f>IF(OR(AD23="",AE23="",LEFT(I23,3)="TBC",LEFT(J23,3)="TBC"),"",IFERROR(IF(COUNTIF(_h2h!$H$2:$H$94,AF23)=0,VLOOKUP("h2h_none",langTable,MATCH(langName,_lang!$A$1:$F$1,0),FALSE),IF(COUNTIF(_h2h!$H$2:$H$94,AF23)=1,"Met once · "&amp;INDEX(_h2h!$I$2:$I$94,MATCH(AF23,_h2h!$H$2:$H$94,0)),"Met "&amp;COUNTIF(_h2h!$H$2:$H$94,AF23)&amp;"× · last: "&amp;INDEX(_h2h!$I$2:$I$94,MATCH(AF23,_h2h!$H$2:$H$94,0)))),""))</f>
        <v>First WC meeting</v>
      </c>
      <c r="AD23" s="47" t="str">
        <f t="shared" si="7"/>
        <v>Sweden</v>
      </c>
      <c r="AE23" s="47" t="str">
        <f t="shared" si="8"/>
        <v>Tunisia</v>
      </c>
      <c r="AF23" s="47" t="str">
        <f t="shared" si="9"/>
        <v>Sweden|Tunisia</v>
      </c>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2:59" ht="15" customHeight="1">
      <c r="B24" s="57"/>
      <c r="C24" s="230"/>
      <c r="D24" s="112">
        <v>13</v>
      </c>
      <c r="E24" s="108" t="str">
        <f>DAY(X24+tzOffset/24)&amp;" "&amp;VLOOKUP("month_"&amp;MONTH(X24+tzOffset/24),langTable,MATCH(langName,_lang!$A$1:$F$1,0),FALSE())</f>
        <v>15 Jun</v>
      </c>
      <c r="F24" s="108" t="str">
        <f>VLOOKUP("dow_"&amp;IF(WEEKDAY(X24+tzOffset/24,2)=0,7,WEEKDAY(X24+tzOffset/24,2)),langTable,MATCH(langName,_lang!$A$1:$F$1,0),FALSE())</f>
        <v>Mon</v>
      </c>
      <c r="G24" s="108" t="str">
        <f t="shared" si="0"/>
        <v>17:00</v>
      </c>
      <c r="H24" s="112" t="s">
        <v>49</v>
      </c>
      <c r="I24" s="109" t="s">
        <v>50</v>
      </c>
      <c r="J24" s="109" t="s">
        <v>51</v>
      </c>
      <c r="K24" s="109" t="s">
        <v>52</v>
      </c>
      <c r="L24" s="109" t="str">
        <f t="shared" si="1"/>
        <v>Atlanta</v>
      </c>
      <c r="M24" s="110">
        <f t="shared" si="2"/>
        <v>71000</v>
      </c>
      <c r="N24" s="258"/>
      <c r="O24" s="259"/>
      <c r="P24" s="260"/>
      <c r="Q24" s="260"/>
      <c r="R24" s="154">
        <f t="shared" si="3"/>
        <v>0</v>
      </c>
      <c r="S24" s="155">
        <f t="shared" si="4"/>
        <v>0</v>
      </c>
      <c r="T24" s="119">
        <f t="shared" si="5"/>
        <v>0</v>
      </c>
      <c r="U24" s="140" t="str">
        <f>IF(T24=1,IF(R24&gt;S24,I24&amp;VLOOKUP("win_suffix",langTable,MATCH(langName,_lang!$A$1:$F$1,0),FALSE()),IF(R24&lt;S24,J24&amp;VLOOKUP("win_suffix",langTable,MATCH(langName,_lang!$A$1:$F$1,0),FALSE()),VLOOKUP("draw",langTable,MATCH(langName,_lang!$A$1:$F$1,0),FALSE()))),"")</f>
        <v/>
      </c>
      <c r="V24" s="138" t="str">
        <f>IF(AND(tzCode="UK",langCode="EN"),IF(1,"ITV","BBC"),"")</f>
        <v>ITV</v>
      </c>
      <c r="W24" s="139" t="str">
        <f>VLOOKUP("pens_na",langTable,MATCH(langName,_lang!$A$1:$F$1,0),FALSE())</f>
        <v>N/A</v>
      </c>
      <c r="X24" s="58">
        <v>46188.666666666657</v>
      </c>
      <c r="Y24" s="45"/>
      <c r="Z24" s="45"/>
      <c r="AA24" s="59">
        <f t="shared" ca="1" si="6"/>
        <v>13</v>
      </c>
      <c r="AB24" s="231"/>
      <c r="AC24" s="60" t="str">
        <f>IF(OR(AD24="",AE24="",LEFT(I24,3)="TBC",LEFT(J24,3)="TBC"),"",IFERROR(IF(COUNTIF(_h2h!$H$2:$H$94,AF24)=0,VLOOKUP("h2h_none",langTable,MATCH(langName,_lang!$A$1:$F$1,0),FALSE),IF(COUNTIF(_h2h!$H$2:$H$94,AF24)=1,"Met once · "&amp;INDEX(_h2h!$I$2:$I$94,MATCH(AF24,_h2h!$H$2:$H$94,0)),"Met "&amp;COUNTIF(_h2h!$H$2:$H$94,AF24)&amp;"× · last: "&amp;INDEX(_h2h!$I$2:$I$94,MATCH(AF24,_h2h!$H$2:$H$94,0)))),""))</f>
        <v>First WC meeting</v>
      </c>
      <c r="AD24" s="47" t="str">
        <f t="shared" si="7"/>
        <v>Spain</v>
      </c>
      <c r="AE24" s="47" t="str">
        <f t="shared" si="8"/>
        <v>Cape Verde</v>
      </c>
      <c r="AF24" s="47" t="str">
        <f t="shared" si="9"/>
        <v>Cape Verde|Spain</v>
      </c>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2:59" ht="15" customHeight="1">
      <c r="B25" s="57"/>
      <c r="C25" s="230"/>
      <c r="D25" s="112">
        <v>14</v>
      </c>
      <c r="E25" s="108" t="str">
        <f>DAY(X25+tzOffset/24)&amp;" "&amp;VLOOKUP("month_"&amp;MONTH(X25+tzOffset/24),langTable,MATCH(langName,_lang!$A$1:$F$1,0),FALSE())</f>
        <v>15 Jun</v>
      </c>
      <c r="F25" s="108" t="str">
        <f>VLOOKUP("dow_"&amp;IF(WEEKDAY(X25+tzOffset/24,2)=0,7,WEEKDAY(X25+tzOffset/24,2)),langTable,MATCH(langName,_lang!$A$1:$F$1,0),FALSE())</f>
        <v>Mon</v>
      </c>
      <c r="G25" s="108" t="str">
        <f t="shared" si="0"/>
        <v>20:00</v>
      </c>
      <c r="H25" s="112" t="s">
        <v>53</v>
      </c>
      <c r="I25" s="109" t="s">
        <v>54</v>
      </c>
      <c r="J25" s="109" t="s">
        <v>55</v>
      </c>
      <c r="K25" s="109" t="s">
        <v>56</v>
      </c>
      <c r="L25" s="109" t="str">
        <f t="shared" si="1"/>
        <v>Seattle</v>
      </c>
      <c r="M25" s="110">
        <f t="shared" si="2"/>
        <v>68740</v>
      </c>
      <c r="N25" s="258"/>
      <c r="O25" s="259"/>
      <c r="P25" s="260"/>
      <c r="Q25" s="260"/>
      <c r="R25" s="154">
        <f t="shared" si="3"/>
        <v>0</v>
      </c>
      <c r="S25" s="155">
        <f t="shared" si="4"/>
        <v>0</v>
      </c>
      <c r="T25" s="119">
        <f t="shared" si="5"/>
        <v>0</v>
      </c>
      <c r="U25" s="140" t="str">
        <f>IF(T25=1,IF(R25&gt;S25,I25&amp;VLOOKUP("win_suffix",langTable,MATCH(langName,_lang!$A$1:$F$1,0),FALSE()),IF(R25&lt;S25,J25&amp;VLOOKUP("win_suffix",langTable,MATCH(langName,_lang!$A$1:$F$1,0),FALSE()),VLOOKUP("draw",langTable,MATCH(langName,_lang!$A$1:$F$1,0),FALSE()))),"")</f>
        <v/>
      </c>
      <c r="V25" s="138" t="str">
        <f>IF(AND(tzCode="UK",langCode="EN"),IF(0,"ITV","BBC"),"")</f>
        <v>BBC</v>
      </c>
      <c r="W25" s="139" t="str">
        <f>VLOOKUP("pens_na",langTable,MATCH(langName,_lang!$A$1:$F$1,0),FALSE())</f>
        <v>N/A</v>
      </c>
      <c r="X25" s="58">
        <v>46188.791666666657</v>
      </c>
      <c r="Y25" s="45"/>
      <c r="Z25" s="45"/>
      <c r="AA25" s="59">
        <f t="shared" ca="1" si="6"/>
        <v>14</v>
      </c>
      <c r="AB25" s="231"/>
      <c r="AC25" s="60" t="str">
        <f>IF(OR(AD25="",AE25="",LEFT(I25,3)="TBC",LEFT(J25,3)="TBC"),"",IFERROR(IF(COUNTIF(_h2h!$H$2:$H$94,AF25)=0,VLOOKUP("h2h_none",langTable,MATCH(langName,_lang!$A$1:$F$1,0),FALSE),IF(COUNTIF(_h2h!$H$2:$H$94,AF25)=1,"Met once · "&amp;INDEX(_h2h!$I$2:$I$94,MATCH(AF25,_h2h!$H$2:$H$94,0)),"Met "&amp;COUNTIF(_h2h!$H$2:$H$94,AF25)&amp;"× · last: "&amp;INDEX(_h2h!$I$2:$I$94,MATCH(AF25,_h2h!$H$2:$H$94,0)))),""))</f>
        <v>First WC meeting</v>
      </c>
      <c r="AD25" s="47" t="str">
        <f t="shared" si="7"/>
        <v>Belgium</v>
      </c>
      <c r="AE25" s="47" t="str">
        <f t="shared" si="8"/>
        <v>Egypt</v>
      </c>
      <c r="AF25" s="47" t="str">
        <f t="shared" si="9"/>
        <v>Belgium|Egypt</v>
      </c>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2:59" ht="15" customHeight="1">
      <c r="B26" s="57"/>
      <c r="C26" s="230"/>
      <c r="D26" s="112">
        <v>15</v>
      </c>
      <c r="E26" s="108" t="str">
        <f>DAY(X26+tzOffset/24)&amp;" "&amp;VLOOKUP("month_"&amp;MONTH(X26+tzOffset/24),langTable,MATCH(langName,_lang!$A$1:$F$1,0),FALSE())</f>
        <v>15 Jun</v>
      </c>
      <c r="F26" s="108" t="str">
        <f>VLOOKUP("dow_"&amp;IF(WEEKDAY(X26+tzOffset/24,2)=0,7,WEEKDAY(X26+tzOffset/24,2)),langTable,MATCH(langName,_lang!$A$1:$F$1,0),FALSE())</f>
        <v>Mon</v>
      </c>
      <c r="G26" s="108" t="str">
        <f t="shared" si="0"/>
        <v>23:00</v>
      </c>
      <c r="H26" s="112" t="s">
        <v>49</v>
      </c>
      <c r="I26" s="109" t="s">
        <v>57</v>
      </c>
      <c r="J26" s="109" t="s">
        <v>58</v>
      </c>
      <c r="K26" s="109" t="s">
        <v>59</v>
      </c>
      <c r="L26" s="109" t="str">
        <f t="shared" si="1"/>
        <v>Miami Gardens</v>
      </c>
      <c r="M26" s="110">
        <f t="shared" si="2"/>
        <v>65326</v>
      </c>
      <c r="N26" s="258"/>
      <c r="O26" s="259"/>
      <c r="P26" s="260"/>
      <c r="Q26" s="260"/>
      <c r="R26" s="154">
        <f t="shared" si="3"/>
        <v>0</v>
      </c>
      <c r="S26" s="155">
        <f t="shared" si="4"/>
        <v>0</v>
      </c>
      <c r="T26" s="119">
        <f t="shared" si="5"/>
        <v>0</v>
      </c>
      <c r="U26" s="140" t="str">
        <f>IF(T26=1,IF(R26&gt;S26,I26&amp;VLOOKUP("win_suffix",langTable,MATCH(langName,_lang!$A$1:$F$1,0),FALSE()),IF(R26&lt;S26,J26&amp;VLOOKUP("win_suffix",langTable,MATCH(langName,_lang!$A$1:$F$1,0),FALSE()),VLOOKUP("draw",langTable,MATCH(langName,_lang!$A$1:$F$1,0),FALSE()))),"")</f>
        <v/>
      </c>
      <c r="V26" s="138" t="str">
        <f>IF(AND(tzCode="UK",langCode="EN"),IF(1,"ITV","BBC"),"")</f>
        <v>ITV</v>
      </c>
      <c r="W26" s="139" t="str">
        <f>VLOOKUP("pens_na",langTable,MATCH(langName,_lang!$A$1:$F$1,0),FALSE())</f>
        <v>N/A</v>
      </c>
      <c r="X26" s="58">
        <v>46188.916666666657</v>
      </c>
      <c r="Y26" s="45"/>
      <c r="Z26" s="45"/>
      <c r="AA26" s="59">
        <f t="shared" ca="1" si="6"/>
        <v>15</v>
      </c>
      <c r="AB26" s="231"/>
      <c r="AC26" s="60" t="str">
        <f>IF(OR(AD26="",AE26="",LEFT(I26,3)="TBC",LEFT(J26,3)="TBC"),"",IFERROR(IF(COUNTIF(_h2h!$H$2:$H$94,AF26)=0,VLOOKUP("h2h_none",langTable,MATCH(langName,_lang!$A$1:$F$1,0),FALSE),IF(COUNTIF(_h2h!$H$2:$H$94,AF26)=1,"Met once · "&amp;INDEX(_h2h!$I$2:$I$94,MATCH(AF26,_h2h!$H$2:$H$94,0)),"Met "&amp;COUNTIF(_h2h!$H$2:$H$94,AF26)&amp;"× · last: "&amp;INDEX(_h2h!$I$2:$I$94,MATCH(AF26,_h2h!$H$2:$H$94,0)))),""))</f>
        <v>First WC meeting</v>
      </c>
      <c r="AD26" s="47" t="str">
        <f t="shared" si="7"/>
        <v>Saudi Arabia</v>
      </c>
      <c r="AE26" s="47" t="str">
        <f t="shared" si="8"/>
        <v>Uruguay</v>
      </c>
      <c r="AF26" s="47" t="str">
        <f t="shared" si="9"/>
        <v>Saudi Arabia|Uruguay</v>
      </c>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2:59" ht="15" customHeight="1">
      <c r="B27" s="57"/>
      <c r="C27" s="230"/>
      <c r="D27" s="112">
        <v>16</v>
      </c>
      <c r="E27" s="108" t="str">
        <f>DAY(X27+tzOffset/24)&amp;" "&amp;VLOOKUP("month_"&amp;MONTH(X27+tzOffset/24),langTable,MATCH(langName,_lang!$A$1:$F$1,0),FALSE())</f>
        <v>16 Jun</v>
      </c>
      <c r="F27" s="108" t="str">
        <f>VLOOKUP("dow_"&amp;IF(WEEKDAY(X27+tzOffset/24,2)=0,7,WEEKDAY(X27+tzOffset/24,2)),langTable,MATCH(langName,_lang!$A$1:$F$1,0),FALSE())</f>
        <v>Tue</v>
      </c>
      <c r="G27" s="108" t="str">
        <f t="shared" si="0"/>
        <v>02:00</v>
      </c>
      <c r="H27" s="112" t="s">
        <v>53</v>
      </c>
      <c r="I27" s="109" t="s">
        <v>60</v>
      </c>
      <c r="J27" s="109" t="s">
        <v>61</v>
      </c>
      <c r="K27" s="109" t="s">
        <v>21</v>
      </c>
      <c r="L27" s="109" t="str">
        <f t="shared" si="1"/>
        <v>Inglewood (Los Angeles)</v>
      </c>
      <c r="M27" s="110">
        <f t="shared" si="2"/>
        <v>70240</v>
      </c>
      <c r="N27" s="258"/>
      <c r="O27" s="259"/>
      <c r="P27" s="260"/>
      <c r="Q27" s="260"/>
      <c r="R27" s="154">
        <f t="shared" si="3"/>
        <v>0</v>
      </c>
      <c r="S27" s="155">
        <f t="shared" si="4"/>
        <v>0</v>
      </c>
      <c r="T27" s="119">
        <f t="shared" si="5"/>
        <v>0</v>
      </c>
      <c r="U27" s="140" t="str">
        <f>IF(T27=1,IF(R27&gt;S27,I27&amp;VLOOKUP("win_suffix",langTable,MATCH(langName,_lang!$A$1:$F$1,0),FALSE()),IF(R27&lt;S27,J27&amp;VLOOKUP("win_suffix",langTable,MATCH(langName,_lang!$A$1:$F$1,0),FALSE()),VLOOKUP("draw",langTable,MATCH(langName,_lang!$A$1:$F$1,0),FALSE()))),"")</f>
        <v/>
      </c>
      <c r="V27" s="138" t="str">
        <f>IF(AND(tzCode="UK",langCode="EN"),IF(0,"ITV","BBC"),"")</f>
        <v>BBC</v>
      </c>
      <c r="W27" s="139" t="str">
        <f>VLOOKUP("pens_na",langTable,MATCH(langName,_lang!$A$1:$F$1,0),FALSE())</f>
        <v>N/A</v>
      </c>
      <c r="X27" s="58">
        <v>46189.041666666657</v>
      </c>
      <c r="Y27" s="45"/>
      <c r="Z27" s="45"/>
      <c r="AA27" s="59">
        <f t="shared" ca="1" si="6"/>
        <v>16</v>
      </c>
      <c r="AB27" s="231"/>
      <c r="AC27" s="60" t="str">
        <f>IF(OR(AD27="",AE27="",LEFT(I27,3)="TBC",LEFT(J27,3)="TBC"),"",IFERROR(IF(COUNTIF(_h2h!$H$2:$H$94,AF27)=0,VLOOKUP("h2h_none",langTable,MATCH(langName,_lang!$A$1:$F$1,0),FALSE),IF(COUNTIF(_h2h!$H$2:$H$94,AF27)=1,"Met once · "&amp;INDEX(_h2h!$I$2:$I$94,MATCH(AF27,_h2h!$H$2:$H$94,0)),"Met "&amp;COUNTIF(_h2h!$H$2:$H$94,AF27)&amp;"× · last: "&amp;INDEX(_h2h!$I$2:$I$94,MATCH(AF27,_h2h!$H$2:$H$94,0)))),""))</f>
        <v>First WC meeting</v>
      </c>
      <c r="AD27" s="47" t="str">
        <f t="shared" si="7"/>
        <v>Iran</v>
      </c>
      <c r="AE27" s="47" t="str">
        <f t="shared" si="8"/>
        <v>New Zealand</v>
      </c>
      <c r="AF27" s="47" t="str">
        <f t="shared" si="9"/>
        <v>Iran|New Zealand</v>
      </c>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2:59" ht="15" customHeight="1">
      <c r="B28" s="57"/>
      <c r="C28" s="230"/>
      <c r="D28" s="112">
        <v>17</v>
      </c>
      <c r="E28" s="108" t="str">
        <f>DAY(X28+tzOffset/24)&amp;" "&amp;VLOOKUP("month_"&amp;MONTH(X28+tzOffset/24),langTable,MATCH(langName,_lang!$A$1:$F$1,0),FALSE())</f>
        <v>16 Jun</v>
      </c>
      <c r="F28" s="108" t="str">
        <f>VLOOKUP("dow_"&amp;IF(WEEKDAY(X28+tzOffset/24,2)=0,7,WEEKDAY(X28+tzOffset/24,2)),langTable,MATCH(langName,_lang!$A$1:$F$1,0),FALSE())</f>
        <v>Tue</v>
      </c>
      <c r="G28" s="108" t="str">
        <f t="shared" si="0"/>
        <v>20:00</v>
      </c>
      <c r="H28" s="112" t="s">
        <v>62</v>
      </c>
      <c r="I28" s="109" t="s">
        <v>63</v>
      </c>
      <c r="J28" s="109" t="s">
        <v>64</v>
      </c>
      <c r="K28" s="109" t="s">
        <v>28</v>
      </c>
      <c r="L28" s="109" t="str">
        <f t="shared" si="1"/>
        <v>East Rutherford (NY/NJ)</v>
      </c>
      <c r="M28" s="110">
        <f t="shared" si="2"/>
        <v>82500</v>
      </c>
      <c r="N28" s="258"/>
      <c r="O28" s="259"/>
      <c r="P28" s="260"/>
      <c r="Q28" s="260"/>
      <c r="R28" s="154">
        <f t="shared" si="3"/>
        <v>0</v>
      </c>
      <c r="S28" s="155">
        <f t="shared" si="4"/>
        <v>0</v>
      </c>
      <c r="T28" s="119">
        <f t="shared" si="5"/>
        <v>0</v>
      </c>
      <c r="U28" s="140" t="str">
        <f>IF(T28=1,IF(R28&gt;S28,I28&amp;VLOOKUP("win_suffix",langTable,MATCH(langName,_lang!$A$1:$F$1,0),FALSE()),IF(R28&lt;S28,J28&amp;VLOOKUP("win_suffix",langTable,MATCH(langName,_lang!$A$1:$F$1,0),FALSE()),VLOOKUP("draw",langTable,MATCH(langName,_lang!$A$1:$F$1,0),FALSE()))),"")</f>
        <v/>
      </c>
      <c r="V28" s="138" t="str">
        <f>IF(AND(tzCode="UK",langCode="EN"),IF(0,"ITV","BBC"),"")</f>
        <v>BBC</v>
      </c>
      <c r="W28" s="139" t="str">
        <f>VLOOKUP("pens_na",langTable,MATCH(langName,_lang!$A$1:$F$1,0),FALSE())</f>
        <v>N/A</v>
      </c>
      <c r="X28" s="58">
        <v>46189.791666666657</v>
      </c>
      <c r="Y28" s="45"/>
      <c r="Z28" s="45"/>
      <c r="AA28" s="59">
        <f t="shared" ca="1" si="6"/>
        <v>17</v>
      </c>
      <c r="AB28" s="231"/>
      <c r="AC28" s="60" t="str">
        <f>IF(OR(AD28="",AE28="",LEFT(I28,3)="TBC",LEFT(J28,3)="TBC"),"",IFERROR(IF(COUNTIF(_h2h!$H$2:$H$94,AF28)=0,VLOOKUP("h2h_none",langTable,MATCH(langName,_lang!$A$1:$F$1,0),FALSE),IF(COUNTIF(_h2h!$H$2:$H$94,AF28)=1,"Met once · "&amp;INDEX(_h2h!$I$2:$I$94,MATCH(AF28,_h2h!$H$2:$H$94,0)),"Met "&amp;COUNTIF(_h2h!$H$2:$H$94,AF28)&amp;"× · last: "&amp;INDEX(_h2h!$I$2:$I$94,MATCH(AF28,_h2h!$H$2:$H$94,0)))),""))</f>
        <v>First WC meeting</v>
      </c>
      <c r="AD28" s="47" t="str">
        <f t="shared" si="7"/>
        <v>France</v>
      </c>
      <c r="AE28" s="47" t="str">
        <f t="shared" si="8"/>
        <v>Senegal</v>
      </c>
      <c r="AF28" s="47" t="str">
        <f t="shared" si="9"/>
        <v>France|Senegal</v>
      </c>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2:59" ht="15" customHeight="1">
      <c r="B29" s="57"/>
      <c r="C29" s="230"/>
      <c r="D29" s="112">
        <v>18</v>
      </c>
      <c r="E29" s="108" t="str">
        <f>DAY(X29+tzOffset/24)&amp;" "&amp;VLOOKUP("month_"&amp;MONTH(X29+tzOffset/24),langTable,MATCH(langName,_lang!$A$1:$F$1,0),FALSE())</f>
        <v>16 Jun</v>
      </c>
      <c r="F29" s="108" t="str">
        <f>VLOOKUP("dow_"&amp;IF(WEEKDAY(X29+tzOffset/24,2)=0,7,WEEKDAY(X29+tzOffset/24,2)),langTable,MATCH(langName,_lang!$A$1:$F$1,0),FALSE())</f>
        <v>Tue</v>
      </c>
      <c r="G29" s="108" t="str">
        <f t="shared" si="0"/>
        <v>23:00</v>
      </c>
      <c r="H29" s="112" t="s">
        <v>62</v>
      </c>
      <c r="I29" s="109" t="s">
        <v>65</v>
      </c>
      <c r="J29" s="109" t="s">
        <v>66</v>
      </c>
      <c r="K29" s="109" t="s">
        <v>31</v>
      </c>
      <c r="L29" s="109" t="str">
        <f t="shared" si="1"/>
        <v>Foxborough (Boston)</v>
      </c>
      <c r="M29" s="110">
        <f t="shared" si="2"/>
        <v>64628</v>
      </c>
      <c r="N29" s="258"/>
      <c r="O29" s="259"/>
      <c r="P29" s="260"/>
      <c r="Q29" s="260"/>
      <c r="R29" s="154">
        <f t="shared" si="3"/>
        <v>0</v>
      </c>
      <c r="S29" s="155">
        <f t="shared" si="4"/>
        <v>0</v>
      </c>
      <c r="T29" s="119">
        <f t="shared" si="5"/>
        <v>0</v>
      </c>
      <c r="U29" s="140" t="str">
        <f>IF(T29=1,IF(R29&gt;S29,I29&amp;VLOOKUP("win_suffix",langTable,MATCH(langName,_lang!$A$1:$F$1,0),FALSE()),IF(R29&lt;S29,J29&amp;VLOOKUP("win_suffix",langTable,MATCH(langName,_lang!$A$1:$F$1,0),FALSE()),VLOOKUP("draw",langTable,MATCH(langName,_lang!$A$1:$F$1,0),FALSE()))),"")</f>
        <v/>
      </c>
      <c r="V29" s="138" t="str">
        <f>IF(AND(tzCode="UK",langCode="EN"),IF(0,"ITV","BBC"),"")</f>
        <v>BBC</v>
      </c>
      <c r="W29" s="139" t="str">
        <f>VLOOKUP("pens_na",langTable,MATCH(langName,_lang!$A$1:$F$1,0),FALSE())</f>
        <v>N/A</v>
      </c>
      <c r="X29" s="58">
        <v>46189.916666666657</v>
      </c>
      <c r="Y29" s="45"/>
      <c r="Z29" s="45"/>
      <c r="AA29" s="59">
        <f t="shared" ca="1" si="6"/>
        <v>18</v>
      </c>
      <c r="AB29" s="231"/>
      <c r="AC29" s="60" t="str">
        <f>IF(OR(AD29="",AE29="",LEFT(I29,3)="TBC",LEFT(J29,3)="TBC"),"",IFERROR(IF(COUNTIF(_h2h!$H$2:$H$94,AF29)=0,VLOOKUP("h2h_none",langTable,MATCH(langName,_lang!$A$1:$F$1,0),FALSE),IF(COUNTIF(_h2h!$H$2:$H$94,AF29)=1,"Met once · "&amp;INDEX(_h2h!$I$2:$I$94,MATCH(AF29,_h2h!$H$2:$H$94,0)),"Met "&amp;COUNTIF(_h2h!$H$2:$H$94,AF29)&amp;"× · last: "&amp;INDEX(_h2h!$I$2:$I$94,MATCH(AF29,_h2h!$H$2:$H$94,0)))),""))</f>
        <v>First WC meeting</v>
      </c>
      <c r="AD29" s="47" t="str">
        <f t="shared" si="7"/>
        <v>Iraq</v>
      </c>
      <c r="AE29" s="47" t="str">
        <f t="shared" si="8"/>
        <v>Norway</v>
      </c>
      <c r="AF29" s="47" t="str">
        <f t="shared" si="9"/>
        <v>Iraq|Norway</v>
      </c>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2:59" ht="15" customHeight="1">
      <c r="B30" s="57"/>
      <c r="C30" s="230"/>
      <c r="D30" s="112">
        <v>19</v>
      </c>
      <c r="E30" s="108" t="str">
        <f>DAY(X30+tzOffset/24)&amp;" "&amp;VLOOKUP("month_"&amp;MONTH(X30+tzOffset/24),langTable,MATCH(langName,_lang!$A$1:$F$1,0),FALSE())</f>
        <v>17 Jun</v>
      </c>
      <c r="F30" s="108" t="str">
        <f>VLOOKUP("dow_"&amp;IF(WEEKDAY(X30+tzOffset/24,2)=0,7,WEEKDAY(X30+tzOffset/24,2)),langTable,MATCH(langName,_lang!$A$1:$F$1,0),FALSE())</f>
        <v>Wed</v>
      </c>
      <c r="G30" s="108" t="str">
        <f t="shared" si="0"/>
        <v>02:00</v>
      </c>
      <c r="H30" s="112" t="s">
        <v>67</v>
      </c>
      <c r="I30" s="109" t="s">
        <v>68</v>
      </c>
      <c r="J30" s="109" t="s">
        <v>69</v>
      </c>
      <c r="K30" s="109" t="s">
        <v>70</v>
      </c>
      <c r="L30" s="109" t="str">
        <f t="shared" si="1"/>
        <v>Kansas City</v>
      </c>
      <c r="M30" s="110">
        <f t="shared" si="2"/>
        <v>76416</v>
      </c>
      <c r="N30" s="258"/>
      <c r="O30" s="259"/>
      <c r="P30" s="260"/>
      <c r="Q30" s="260"/>
      <c r="R30" s="154">
        <f t="shared" si="3"/>
        <v>0</v>
      </c>
      <c r="S30" s="155">
        <f t="shared" si="4"/>
        <v>0</v>
      </c>
      <c r="T30" s="119">
        <f t="shared" si="5"/>
        <v>0</v>
      </c>
      <c r="U30" s="140" t="str">
        <f>IF(T30=1,IF(R30&gt;S30,I30&amp;VLOOKUP("win_suffix",langTable,MATCH(langName,_lang!$A$1:$F$1,0),FALSE()),IF(R30&lt;S30,J30&amp;VLOOKUP("win_suffix",langTable,MATCH(langName,_lang!$A$1:$F$1,0),FALSE()),VLOOKUP("draw",langTable,MATCH(langName,_lang!$A$1:$F$1,0),FALSE()))),"")</f>
        <v/>
      </c>
      <c r="V30" s="138" t="str">
        <f>IF(AND(tzCode="UK",langCode="EN"),IF(1,"ITV","BBC"),"")</f>
        <v>ITV</v>
      </c>
      <c r="W30" s="139" t="str">
        <f>VLOOKUP("pens_na",langTable,MATCH(langName,_lang!$A$1:$F$1,0),FALSE())</f>
        <v>N/A</v>
      </c>
      <c r="X30" s="58">
        <v>46190.041666666657</v>
      </c>
      <c r="Y30" s="45"/>
      <c r="Z30" s="45"/>
      <c r="AA30" s="59">
        <f t="shared" ca="1" si="6"/>
        <v>19</v>
      </c>
      <c r="AB30" s="231"/>
      <c r="AC30" s="60" t="str">
        <f>IF(OR(AD30="",AE30="",LEFT(I30,3)="TBC",LEFT(J30,3)="TBC"),"",IFERROR(IF(COUNTIF(_h2h!$H$2:$H$94,AF30)=0,VLOOKUP("h2h_none",langTable,MATCH(langName,_lang!$A$1:$F$1,0),FALSE),IF(COUNTIF(_h2h!$H$2:$H$94,AF30)=1,"Met once · "&amp;INDEX(_h2h!$I$2:$I$94,MATCH(AF30,_h2h!$H$2:$H$94,0)),"Met "&amp;COUNTIF(_h2h!$H$2:$H$94,AF30)&amp;"× · last: "&amp;INDEX(_h2h!$I$2:$I$94,MATCH(AF30,_h2h!$H$2:$H$94,0)))),""))</f>
        <v>First WC meeting</v>
      </c>
      <c r="AD30" s="47" t="str">
        <f t="shared" si="7"/>
        <v>Argentina</v>
      </c>
      <c r="AE30" s="47" t="str">
        <f t="shared" si="8"/>
        <v>Algeria</v>
      </c>
      <c r="AF30" s="47" t="str">
        <f t="shared" si="9"/>
        <v>Algeria|Argentina</v>
      </c>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2:59" ht="15" customHeight="1">
      <c r="B31" s="57"/>
      <c r="C31" s="230"/>
      <c r="D31" s="112">
        <v>20</v>
      </c>
      <c r="E31" s="108" t="str">
        <f>DAY(X31+tzOffset/24)&amp;" "&amp;VLOOKUP("month_"&amp;MONTH(X31+tzOffset/24),langTable,MATCH(langName,_lang!$A$1:$F$1,0),FALSE())</f>
        <v>17 Jun</v>
      </c>
      <c r="F31" s="108" t="str">
        <f>VLOOKUP("dow_"&amp;IF(WEEKDAY(X31+tzOffset/24,2)=0,7,WEEKDAY(X31+tzOffset/24,2)),langTable,MATCH(langName,_lang!$A$1:$F$1,0),FALSE())</f>
        <v>Wed</v>
      </c>
      <c r="G31" s="108" t="str">
        <f t="shared" si="0"/>
        <v>05:00</v>
      </c>
      <c r="H31" s="112" t="s">
        <v>67</v>
      </c>
      <c r="I31" s="109" t="s">
        <v>71</v>
      </c>
      <c r="J31" s="109" t="s">
        <v>72</v>
      </c>
      <c r="K31" s="109" t="s">
        <v>24</v>
      </c>
      <c r="L31" s="109" t="str">
        <f t="shared" si="1"/>
        <v>Santa Clara (SF Bay Area)</v>
      </c>
      <c r="M31" s="110">
        <f t="shared" si="2"/>
        <v>70909</v>
      </c>
      <c r="N31" s="258"/>
      <c r="O31" s="259"/>
      <c r="P31" s="260"/>
      <c r="Q31" s="260"/>
      <c r="R31" s="154">
        <f t="shared" si="3"/>
        <v>0</v>
      </c>
      <c r="S31" s="155">
        <f t="shared" si="4"/>
        <v>0</v>
      </c>
      <c r="T31" s="119">
        <f t="shared" si="5"/>
        <v>0</v>
      </c>
      <c r="U31" s="140" t="str">
        <f>IF(T31=1,IF(R31&gt;S31,I31&amp;VLOOKUP("win_suffix",langTable,MATCH(langName,_lang!$A$1:$F$1,0),FALSE()),IF(R31&lt;S31,J31&amp;VLOOKUP("win_suffix",langTable,MATCH(langName,_lang!$A$1:$F$1,0),FALSE()),VLOOKUP("draw",langTable,MATCH(langName,_lang!$A$1:$F$1,0),FALSE()))),"")</f>
        <v/>
      </c>
      <c r="V31" s="138" t="str">
        <f>IF(AND(tzCode="UK",langCode="EN"),IF(0,"ITV","BBC"),"")</f>
        <v>BBC</v>
      </c>
      <c r="W31" s="139" t="str">
        <f>VLOOKUP("pens_na",langTable,MATCH(langName,_lang!$A$1:$F$1,0),FALSE())</f>
        <v>N/A</v>
      </c>
      <c r="X31" s="58">
        <v>46190.166666666657</v>
      </c>
      <c r="Y31" s="45"/>
      <c r="Z31" s="45"/>
      <c r="AA31" s="59">
        <f t="shared" ca="1" si="6"/>
        <v>20</v>
      </c>
      <c r="AB31" s="231"/>
      <c r="AC31" s="60" t="str">
        <f>IF(OR(AD31="",AE31="",LEFT(I31,3)="TBC",LEFT(J31,3)="TBC"),"",IFERROR(IF(COUNTIF(_h2h!$H$2:$H$94,AF31)=0,VLOOKUP("h2h_none",langTable,MATCH(langName,_lang!$A$1:$F$1,0),FALSE),IF(COUNTIF(_h2h!$H$2:$H$94,AF31)=1,"Met once · "&amp;INDEX(_h2h!$I$2:$I$94,MATCH(AF31,_h2h!$H$2:$H$94,0)),"Met "&amp;COUNTIF(_h2h!$H$2:$H$94,AF31)&amp;"× · last: "&amp;INDEX(_h2h!$I$2:$I$94,MATCH(AF31,_h2h!$H$2:$H$94,0)))),""))</f>
        <v>First WC meeting</v>
      </c>
      <c r="AD31" s="47" t="str">
        <f t="shared" si="7"/>
        <v>Austria</v>
      </c>
      <c r="AE31" s="47" t="str">
        <f t="shared" si="8"/>
        <v>Jordan</v>
      </c>
      <c r="AF31" s="47" t="str">
        <f t="shared" si="9"/>
        <v>Austria|Jordan</v>
      </c>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2:59" ht="15" customHeight="1">
      <c r="B32" s="57"/>
      <c r="C32" s="230"/>
      <c r="D32" s="112">
        <v>21</v>
      </c>
      <c r="E32" s="108" t="str">
        <f>DAY(X32+tzOffset/24)&amp;" "&amp;VLOOKUP("month_"&amp;MONTH(X32+tzOffset/24),langTable,MATCH(langName,_lang!$A$1:$F$1,0),FALSE())</f>
        <v>17 Jun</v>
      </c>
      <c r="F32" s="108" t="str">
        <f>VLOOKUP("dow_"&amp;IF(WEEKDAY(X32+tzOffset/24,2)=0,7,WEEKDAY(X32+tzOffset/24,2)),langTable,MATCH(langName,_lang!$A$1:$F$1,0),FALSE())</f>
        <v>Wed</v>
      </c>
      <c r="G32" s="108" t="str">
        <f t="shared" si="0"/>
        <v>18:00</v>
      </c>
      <c r="H32" s="112" t="s">
        <v>73</v>
      </c>
      <c r="I32" s="109" t="s">
        <v>74</v>
      </c>
      <c r="J32" s="109" t="s">
        <v>75</v>
      </c>
      <c r="K32" s="109" t="s">
        <v>38</v>
      </c>
      <c r="L32" s="109" t="str">
        <f t="shared" si="1"/>
        <v>Houston</v>
      </c>
      <c r="M32" s="110">
        <f t="shared" si="2"/>
        <v>72220</v>
      </c>
      <c r="N32" s="258"/>
      <c r="O32" s="259"/>
      <c r="P32" s="260"/>
      <c r="Q32" s="260"/>
      <c r="R32" s="154">
        <f t="shared" si="3"/>
        <v>0</v>
      </c>
      <c r="S32" s="155">
        <f t="shared" si="4"/>
        <v>0</v>
      </c>
      <c r="T32" s="119">
        <f t="shared" si="5"/>
        <v>0</v>
      </c>
      <c r="U32" s="140" t="str">
        <f>IF(T32=1,IF(R32&gt;S32,I32&amp;VLOOKUP("win_suffix",langTable,MATCH(langName,_lang!$A$1:$F$1,0),FALSE()),IF(R32&lt;S32,J32&amp;VLOOKUP("win_suffix",langTable,MATCH(langName,_lang!$A$1:$F$1,0),FALSE()),VLOOKUP("draw",langTable,MATCH(langName,_lang!$A$1:$F$1,0),FALSE()))),"")</f>
        <v/>
      </c>
      <c r="V32" s="138" t="str">
        <f>IF(AND(tzCode="UK",langCode="EN"),IF(0,"ITV","BBC"),"")</f>
        <v>BBC</v>
      </c>
      <c r="W32" s="139" t="str">
        <f>VLOOKUP("pens_na",langTable,MATCH(langName,_lang!$A$1:$F$1,0),FALSE())</f>
        <v>N/A</v>
      </c>
      <c r="X32" s="58">
        <v>46190.708333333343</v>
      </c>
      <c r="Y32" s="45"/>
      <c r="Z32" s="45"/>
      <c r="AA32" s="59">
        <f t="shared" ca="1" si="6"/>
        <v>21</v>
      </c>
      <c r="AB32" s="231"/>
      <c r="AC32" s="60" t="str">
        <f>IF(OR(AD32="",AE32="",LEFT(I32,3)="TBC",LEFT(J32,3)="TBC"),"",IFERROR(IF(COUNTIF(_h2h!$H$2:$H$94,AF32)=0,VLOOKUP("h2h_none",langTable,MATCH(langName,_lang!$A$1:$F$1,0),FALSE),IF(COUNTIF(_h2h!$H$2:$H$94,AF32)=1,"Met once · "&amp;INDEX(_h2h!$I$2:$I$94,MATCH(AF32,_h2h!$H$2:$H$94,0)),"Met "&amp;COUNTIF(_h2h!$H$2:$H$94,AF32)&amp;"× · last: "&amp;INDEX(_h2h!$I$2:$I$94,MATCH(AF32,_h2h!$H$2:$H$94,0)))),""))</f>
        <v>First WC meeting</v>
      </c>
      <c r="AD32" s="47" t="str">
        <f t="shared" si="7"/>
        <v>Portugal</v>
      </c>
      <c r="AE32" s="47" t="str">
        <f t="shared" si="8"/>
        <v>DR Congo</v>
      </c>
      <c r="AF32" s="47" t="str">
        <f t="shared" si="9"/>
        <v>DR Congo|Portugal</v>
      </c>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2:59" ht="15" customHeight="1">
      <c r="B33" s="57"/>
      <c r="C33" s="230"/>
      <c r="D33" s="112">
        <v>22</v>
      </c>
      <c r="E33" s="108" t="str">
        <f>DAY(X33+tzOffset/24)&amp;" "&amp;VLOOKUP("month_"&amp;MONTH(X33+tzOffset/24),langTable,MATCH(langName,_lang!$A$1:$F$1,0),FALSE())</f>
        <v>17 Jun</v>
      </c>
      <c r="F33" s="108" t="str">
        <f>VLOOKUP("dow_"&amp;IF(WEEKDAY(X33+tzOffset/24,2)=0,7,WEEKDAY(X33+tzOffset/24,2)),langTable,MATCH(langName,_lang!$A$1:$F$1,0),FALSE())</f>
        <v>Wed</v>
      </c>
      <c r="G33" s="108" t="str">
        <f t="shared" si="0"/>
        <v>21:00</v>
      </c>
      <c r="H33" s="112" t="s">
        <v>76</v>
      </c>
      <c r="I33" s="109" t="s">
        <v>77</v>
      </c>
      <c r="J33" s="109" t="s">
        <v>78</v>
      </c>
      <c r="K33" s="109" t="s">
        <v>42</v>
      </c>
      <c r="L33" s="109" t="str">
        <f t="shared" si="1"/>
        <v>Arlington (Dallas)</v>
      </c>
      <c r="M33" s="110">
        <f t="shared" si="2"/>
        <v>92967</v>
      </c>
      <c r="N33" s="258"/>
      <c r="O33" s="259"/>
      <c r="P33" s="260"/>
      <c r="Q33" s="260"/>
      <c r="R33" s="154">
        <f t="shared" si="3"/>
        <v>0</v>
      </c>
      <c r="S33" s="155">
        <f t="shared" si="4"/>
        <v>0</v>
      </c>
      <c r="T33" s="119">
        <f t="shared" si="5"/>
        <v>0</v>
      </c>
      <c r="U33" s="140" t="str">
        <f>IF(T33=1,IF(R33&gt;S33,I33&amp;VLOOKUP("win_suffix",langTable,MATCH(langName,_lang!$A$1:$F$1,0),FALSE()),IF(R33&lt;S33,J33&amp;VLOOKUP("win_suffix",langTable,MATCH(langName,_lang!$A$1:$F$1,0),FALSE()),VLOOKUP("draw",langTable,MATCH(langName,_lang!$A$1:$F$1,0),FALSE()))),"")</f>
        <v/>
      </c>
      <c r="V33" s="138" t="str">
        <f>IF(AND(tzCode="UK",langCode="EN"),IF(1,"ITV","BBC"),"")</f>
        <v>ITV</v>
      </c>
      <c r="W33" s="139" t="str">
        <f>VLOOKUP("pens_na",langTable,MATCH(langName,_lang!$A$1:$F$1,0),FALSE())</f>
        <v>N/A</v>
      </c>
      <c r="X33" s="58">
        <v>46190.833333333343</v>
      </c>
      <c r="Y33" s="45"/>
      <c r="Z33" s="45"/>
      <c r="AA33" s="59">
        <f t="shared" ca="1" si="6"/>
        <v>22</v>
      </c>
      <c r="AB33" s="231"/>
      <c r="AC33" s="60" t="str">
        <f>IF(OR(AD33="",AE33="",LEFT(I33,3)="TBC",LEFT(J33,3)="TBC"),"",IFERROR(IF(COUNTIF(_h2h!$H$2:$H$94,AF33)=0,VLOOKUP("h2h_none",langTable,MATCH(langName,_lang!$A$1:$F$1,0),FALSE),IF(COUNTIF(_h2h!$H$2:$H$94,AF33)=1,"Met once · "&amp;INDEX(_h2h!$I$2:$I$94,MATCH(AF33,_h2h!$H$2:$H$94,0)),"Met "&amp;COUNTIF(_h2h!$H$2:$H$94,AF33)&amp;"× · last: "&amp;INDEX(_h2h!$I$2:$I$94,MATCH(AF33,_h2h!$H$2:$H$94,0)))),""))</f>
        <v>Met once · 2018 Semi-final: Croatia 2-1 England</v>
      </c>
      <c r="AD33" s="47" t="str">
        <f t="shared" si="7"/>
        <v>England</v>
      </c>
      <c r="AE33" s="47" t="str">
        <f t="shared" si="8"/>
        <v>Croatia</v>
      </c>
      <c r="AF33" s="47" t="str">
        <f t="shared" si="9"/>
        <v>Croatia|England</v>
      </c>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2:59" ht="15" customHeight="1">
      <c r="B34" s="57"/>
      <c r="C34" s="230"/>
      <c r="D34" s="112">
        <v>23</v>
      </c>
      <c r="E34" s="108" t="str">
        <f>DAY(X34+tzOffset/24)&amp;" "&amp;VLOOKUP("month_"&amp;MONTH(X34+tzOffset/24),langTable,MATCH(langName,_lang!$A$1:$F$1,0),FALSE())</f>
        <v>18 Jun</v>
      </c>
      <c r="F34" s="108" t="str">
        <f>VLOOKUP("dow_"&amp;IF(WEEKDAY(X34+tzOffset/24,2)=0,7,WEEKDAY(X34+tzOffset/24,2)),langTable,MATCH(langName,_lang!$A$1:$F$1,0),FALSE())</f>
        <v>Thu</v>
      </c>
      <c r="G34" s="108" t="str">
        <f t="shared" si="0"/>
        <v>00:00</v>
      </c>
      <c r="H34" s="112" t="s">
        <v>76</v>
      </c>
      <c r="I34" s="109" t="s">
        <v>79</v>
      </c>
      <c r="J34" s="109" t="s">
        <v>80</v>
      </c>
      <c r="K34" s="109" t="s">
        <v>17</v>
      </c>
      <c r="L34" s="109" t="str">
        <f t="shared" si="1"/>
        <v>Toronto</v>
      </c>
      <c r="M34" s="110">
        <f t="shared" si="2"/>
        <v>45736</v>
      </c>
      <c r="N34" s="258"/>
      <c r="O34" s="259"/>
      <c r="P34" s="260"/>
      <c r="Q34" s="260"/>
      <c r="R34" s="154">
        <f t="shared" si="3"/>
        <v>0</v>
      </c>
      <c r="S34" s="155">
        <f t="shared" si="4"/>
        <v>0</v>
      </c>
      <c r="T34" s="119">
        <f t="shared" si="5"/>
        <v>0</v>
      </c>
      <c r="U34" s="140" t="str">
        <f>IF(T34=1,IF(R34&gt;S34,I34&amp;VLOOKUP("win_suffix",langTable,MATCH(langName,_lang!$A$1:$F$1,0),FALSE()),IF(R34&lt;S34,J34&amp;VLOOKUP("win_suffix",langTable,MATCH(langName,_lang!$A$1:$F$1,0),FALSE()),VLOOKUP("draw",langTable,MATCH(langName,_lang!$A$1:$F$1,0),FALSE()))),"")</f>
        <v/>
      </c>
      <c r="V34" s="138" t="str">
        <f>IF(AND(tzCode="UK",langCode="EN"),IF(1,"ITV","BBC"),"")</f>
        <v>ITV</v>
      </c>
      <c r="W34" s="139" t="str">
        <f>VLOOKUP("pens_na",langTable,MATCH(langName,_lang!$A$1:$F$1,0),FALSE())</f>
        <v>N/A</v>
      </c>
      <c r="X34" s="58">
        <v>46190.958333333343</v>
      </c>
      <c r="Y34" s="45"/>
      <c r="Z34" s="45"/>
      <c r="AA34" s="59">
        <f t="shared" ca="1" si="6"/>
        <v>23</v>
      </c>
      <c r="AB34" s="231"/>
      <c r="AC34" s="60" t="str">
        <f>IF(OR(AD34="",AE34="",LEFT(I34,3)="TBC",LEFT(J34,3)="TBC"),"",IFERROR(IF(COUNTIF(_h2h!$H$2:$H$94,AF34)=0,VLOOKUP("h2h_none",langTable,MATCH(langName,_lang!$A$1:$F$1,0),FALSE),IF(COUNTIF(_h2h!$H$2:$H$94,AF34)=1,"Met once · "&amp;INDEX(_h2h!$I$2:$I$94,MATCH(AF34,_h2h!$H$2:$H$94,0)),"Met "&amp;COUNTIF(_h2h!$H$2:$H$94,AF34)&amp;"× · last: "&amp;INDEX(_h2h!$I$2:$I$94,MATCH(AF34,_h2h!$H$2:$H$94,0)))),""))</f>
        <v>First WC meeting</v>
      </c>
      <c r="AD34" s="47" t="str">
        <f t="shared" si="7"/>
        <v>Ghana</v>
      </c>
      <c r="AE34" s="47" t="str">
        <f t="shared" si="8"/>
        <v>Panama</v>
      </c>
      <c r="AF34" s="47" t="str">
        <f t="shared" si="9"/>
        <v>Ghana|Panama</v>
      </c>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2:59" ht="15" customHeight="1">
      <c r="B35" s="57"/>
      <c r="C35" s="230"/>
      <c r="D35" s="112">
        <v>24</v>
      </c>
      <c r="E35" s="108" t="str">
        <f>DAY(X35+tzOffset/24)&amp;" "&amp;VLOOKUP("month_"&amp;MONTH(X35+tzOffset/24),langTable,MATCH(langName,_lang!$A$1:$F$1,0),FALSE())</f>
        <v>18 Jun</v>
      </c>
      <c r="F35" s="108" t="str">
        <f>VLOOKUP("dow_"&amp;IF(WEEKDAY(X35+tzOffset/24,2)=0,7,WEEKDAY(X35+tzOffset/24,2)),langTable,MATCH(langName,_lang!$A$1:$F$1,0),FALSE())</f>
        <v>Thu</v>
      </c>
      <c r="G35" s="108" t="str">
        <f t="shared" si="0"/>
        <v>03:00</v>
      </c>
      <c r="H35" s="112" t="s">
        <v>73</v>
      </c>
      <c r="I35" s="109" t="s">
        <v>81</v>
      </c>
      <c r="J35" s="109" t="s">
        <v>82</v>
      </c>
      <c r="K35" s="109" t="s">
        <v>10</v>
      </c>
      <c r="L35" s="109" t="str">
        <f t="shared" si="1"/>
        <v>Mexico City</v>
      </c>
      <c r="M35" s="110">
        <f t="shared" si="2"/>
        <v>87000</v>
      </c>
      <c r="N35" s="258"/>
      <c r="O35" s="259"/>
      <c r="P35" s="260"/>
      <c r="Q35" s="260"/>
      <c r="R35" s="154">
        <f t="shared" si="3"/>
        <v>0</v>
      </c>
      <c r="S35" s="155">
        <f t="shared" si="4"/>
        <v>0</v>
      </c>
      <c r="T35" s="119">
        <f t="shared" si="5"/>
        <v>0</v>
      </c>
      <c r="U35" s="140" t="str">
        <f>IF(T35=1,IF(R35&gt;S35,I35&amp;VLOOKUP("win_suffix",langTable,MATCH(langName,_lang!$A$1:$F$1,0),FALSE()),IF(R35&lt;S35,J35&amp;VLOOKUP("win_suffix",langTable,MATCH(langName,_lang!$A$1:$F$1,0),FALSE()),VLOOKUP("draw",langTable,MATCH(langName,_lang!$A$1:$F$1,0),FALSE()))),"")</f>
        <v/>
      </c>
      <c r="V35" s="138" t="str">
        <f>IF(AND(tzCode="UK",langCode="EN"),IF(0,"ITV","BBC"),"")</f>
        <v>BBC</v>
      </c>
      <c r="W35" s="139" t="str">
        <f>VLOOKUP("pens_na",langTable,MATCH(langName,_lang!$A$1:$F$1,0),FALSE())</f>
        <v>N/A</v>
      </c>
      <c r="X35" s="58">
        <v>46191.083333333343</v>
      </c>
      <c r="Y35" s="45"/>
      <c r="Z35" s="45"/>
      <c r="AA35" s="59">
        <f t="shared" ca="1" si="6"/>
        <v>24</v>
      </c>
      <c r="AB35" s="231"/>
      <c r="AC35" s="60" t="str">
        <f>IF(OR(AD35="",AE35="",LEFT(I35,3)="TBC",LEFT(J35,3)="TBC"),"",IFERROR(IF(COUNTIF(_h2h!$H$2:$H$94,AF35)=0,VLOOKUP("h2h_none",langTable,MATCH(langName,_lang!$A$1:$F$1,0),FALSE),IF(COUNTIF(_h2h!$H$2:$H$94,AF35)=1,"Met once · "&amp;INDEX(_h2h!$I$2:$I$94,MATCH(AF35,_h2h!$H$2:$H$94,0)),"Met "&amp;COUNTIF(_h2h!$H$2:$H$94,AF35)&amp;"× · last: "&amp;INDEX(_h2h!$I$2:$I$94,MATCH(AF35,_h2h!$H$2:$H$94,0)))),""))</f>
        <v>First WC meeting</v>
      </c>
      <c r="AD35" s="47" t="str">
        <f t="shared" si="7"/>
        <v>Uzbekistan</v>
      </c>
      <c r="AE35" s="47" t="str">
        <f t="shared" si="8"/>
        <v>Colombia</v>
      </c>
      <c r="AF35" s="47" t="str">
        <f t="shared" si="9"/>
        <v>Colombia|Uzbekistan</v>
      </c>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2:59" ht="15" customHeight="1">
      <c r="B36" s="57"/>
      <c r="C36" s="230"/>
      <c r="D36" s="112">
        <v>25</v>
      </c>
      <c r="E36" s="108" t="str">
        <f>DAY(X36+tzOffset/24)&amp;" "&amp;VLOOKUP("month_"&amp;MONTH(X36+tzOffset/24),langTable,MATCH(langName,_lang!$A$1:$F$1,0),FALSE())</f>
        <v>18 Jun</v>
      </c>
      <c r="F36" s="108" t="str">
        <f>VLOOKUP("dow_"&amp;IF(WEEKDAY(X36+tzOffset/24,2)=0,7,WEEKDAY(X36+tzOffset/24,2)),langTable,MATCH(langName,_lang!$A$1:$F$1,0),FALSE())</f>
        <v>Thu</v>
      </c>
      <c r="G36" s="108" t="str">
        <f t="shared" si="0"/>
        <v>17:00</v>
      </c>
      <c r="H36" s="112" t="s">
        <v>7</v>
      </c>
      <c r="I36" s="109" t="s">
        <v>12</v>
      </c>
      <c r="J36" s="109" t="s">
        <v>9</v>
      </c>
      <c r="K36" s="109" t="s">
        <v>52</v>
      </c>
      <c r="L36" s="109" t="str">
        <f t="shared" si="1"/>
        <v>Atlanta</v>
      </c>
      <c r="M36" s="110">
        <f t="shared" si="2"/>
        <v>71000</v>
      </c>
      <c r="N36" s="258"/>
      <c r="O36" s="259"/>
      <c r="P36" s="260"/>
      <c r="Q36" s="260"/>
      <c r="R36" s="154">
        <f t="shared" si="3"/>
        <v>0</v>
      </c>
      <c r="S36" s="155">
        <f t="shared" si="4"/>
        <v>0</v>
      </c>
      <c r="T36" s="119">
        <f t="shared" si="5"/>
        <v>0</v>
      </c>
      <c r="U36" s="140" t="str">
        <f>IF(T36=1,IF(R36&gt;S36,I36&amp;VLOOKUP("win_suffix",langTable,MATCH(langName,_lang!$A$1:$F$1,0),FALSE()),IF(R36&lt;S36,J36&amp;VLOOKUP("win_suffix",langTable,MATCH(langName,_lang!$A$1:$F$1,0),FALSE()),VLOOKUP("draw",langTable,MATCH(langName,_lang!$A$1:$F$1,0),FALSE()))),"")</f>
        <v/>
      </c>
      <c r="V36" s="138" t="str">
        <f>IF(AND(tzCode="UK",langCode="EN"),IF(0,"ITV","BBC"),"")</f>
        <v>BBC</v>
      </c>
      <c r="W36" s="139" t="str">
        <f>VLOOKUP("pens_na",langTable,MATCH(langName,_lang!$A$1:$F$1,0),FALSE())</f>
        <v>N/A</v>
      </c>
      <c r="X36" s="58">
        <v>46191.666666666657</v>
      </c>
      <c r="Y36" s="45"/>
      <c r="Z36" s="45"/>
      <c r="AA36" s="59">
        <f t="shared" ca="1" si="6"/>
        <v>25</v>
      </c>
      <c r="AB36" s="231"/>
      <c r="AC36" s="60" t="str">
        <f>IF(OR(AD36="",AE36="",LEFT(I36,3)="TBC",LEFT(J36,3)="TBC"),"",IFERROR(IF(COUNTIF(_h2h!$H$2:$H$94,AF36)=0,VLOOKUP("h2h_none",langTable,MATCH(langName,_lang!$A$1:$F$1,0),FALSE),IF(COUNTIF(_h2h!$H$2:$H$94,AF36)=1,"Met once · "&amp;INDEX(_h2h!$I$2:$I$94,MATCH(AF36,_h2h!$H$2:$H$94,0)),"Met "&amp;COUNTIF(_h2h!$H$2:$H$94,AF36)&amp;"× · last: "&amp;INDEX(_h2h!$I$2:$I$94,MATCH(AF36,_h2h!$H$2:$H$94,0)))),""))</f>
        <v>First WC meeting</v>
      </c>
      <c r="AD36" s="47" t="str">
        <f t="shared" si="7"/>
        <v>Czech Republic</v>
      </c>
      <c r="AE36" s="47" t="str">
        <f t="shared" si="8"/>
        <v>South Africa</v>
      </c>
      <c r="AF36" s="47" t="str">
        <f t="shared" si="9"/>
        <v>Czech Republic|South Africa</v>
      </c>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2:59" ht="15" customHeight="1">
      <c r="B37" s="57"/>
      <c r="C37" s="230"/>
      <c r="D37" s="112">
        <v>26</v>
      </c>
      <c r="E37" s="108" t="str">
        <f>DAY(X37+tzOffset/24)&amp;" "&amp;VLOOKUP("month_"&amp;MONTH(X37+tzOffset/24),langTable,MATCH(langName,_lang!$A$1:$F$1,0),FALSE())</f>
        <v>18 Jun</v>
      </c>
      <c r="F37" s="108" t="str">
        <f>VLOOKUP("dow_"&amp;IF(WEEKDAY(X37+tzOffset/24,2)=0,7,WEEKDAY(X37+tzOffset/24,2)),langTable,MATCH(langName,_lang!$A$1:$F$1,0),FALSE())</f>
        <v>Thu</v>
      </c>
      <c r="G37" s="108" t="str">
        <f t="shared" si="0"/>
        <v>20:00</v>
      </c>
      <c r="H37" s="112" t="s">
        <v>14</v>
      </c>
      <c r="I37" s="109" t="s">
        <v>23</v>
      </c>
      <c r="J37" s="109" t="s">
        <v>16</v>
      </c>
      <c r="K37" s="109" t="s">
        <v>21</v>
      </c>
      <c r="L37" s="109" t="str">
        <f t="shared" si="1"/>
        <v>Inglewood (Los Angeles)</v>
      </c>
      <c r="M37" s="110">
        <f t="shared" si="2"/>
        <v>70240</v>
      </c>
      <c r="N37" s="258"/>
      <c r="O37" s="259"/>
      <c r="P37" s="260"/>
      <c r="Q37" s="260"/>
      <c r="R37" s="154">
        <f t="shared" si="3"/>
        <v>0</v>
      </c>
      <c r="S37" s="155">
        <f t="shared" si="4"/>
        <v>0</v>
      </c>
      <c r="T37" s="119">
        <f t="shared" si="5"/>
        <v>0</v>
      </c>
      <c r="U37" s="140" t="str">
        <f>IF(T37=1,IF(R37&gt;S37,I37&amp;VLOOKUP("win_suffix",langTable,MATCH(langName,_lang!$A$1:$F$1,0),FALSE()),IF(R37&lt;S37,J37&amp;VLOOKUP("win_suffix",langTable,MATCH(langName,_lang!$A$1:$F$1,0),FALSE()),VLOOKUP("draw",langTable,MATCH(langName,_lang!$A$1:$F$1,0),FALSE()))),"")</f>
        <v/>
      </c>
      <c r="V37" s="138" t="str">
        <f>IF(AND(tzCode="UK",langCode="EN"),IF(1,"ITV","BBC"),"")</f>
        <v>ITV</v>
      </c>
      <c r="W37" s="139" t="str">
        <f>VLOOKUP("pens_na",langTable,MATCH(langName,_lang!$A$1:$F$1,0),FALSE())</f>
        <v>N/A</v>
      </c>
      <c r="X37" s="58">
        <v>46191.791666666657</v>
      </c>
      <c r="Y37" s="45"/>
      <c r="Z37" s="45"/>
      <c r="AA37" s="59">
        <f t="shared" ca="1" si="6"/>
        <v>26</v>
      </c>
      <c r="AB37" s="231"/>
      <c r="AC37" s="60" t="str">
        <f>IF(OR(AD37="",AE37="",LEFT(I37,3)="TBC",LEFT(J37,3)="TBC"),"",IFERROR(IF(COUNTIF(_h2h!$H$2:$H$94,AF37)=0,VLOOKUP("h2h_none",langTable,MATCH(langName,_lang!$A$1:$F$1,0),FALSE),IF(COUNTIF(_h2h!$H$2:$H$94,AF37)=1,"Met once · "&amp;INDEX(_h2h!$I$2:$I$94,MATCH(AF37,_h2h!$H$2:$H$94,0)),"Met "&amp;COUNTIF(_h2h!$H$2:$H$94,AF37)&amp;"× · last: "&amp;INDEX(_h2h!$I$2:$I$94,MATCH(AF37,_h2h!$H$2:$H$94,0)))),""))</f>
        <v>First WC meeting</v>
      </c>
      <c r="AD37" s="47" t="str">
        <f t="shared" si="7"/>
        <v>Switzerland</v>
      </c>
      <c r="AE37" s="47" t="str">
        <f t="shared" si="8"/>
        <v>Bosnia &amp; Herzegovina</v>
      </c>
      <c r="AF37" s="47" t="str">
        <f t="shared" si="9"/>
        <v>Bosnia &amp; Herzegovina|Switzerland</v>
      </c>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2:59" ht="15" customHeight="1">
      <c r="B38" s="57"/>
      <c r="C38" s="230"/>
      <c r="D38" s="112">
        <v>27</v>
      </c>
      <c r="E38" s="108" t="str">
        <f>DAY(X38+tzOffset/24)&amp;" "&amp;VLOOKUP("month_"&amp;MONTH(X38+tzOffset/24),langTable,MATCH(langName,_lang!$A$1:$F$1,0),FALSE())</f>
        <v>18 Jun</v>
      </c>
      <c r="F38" s="108" t="str">
        <f>VLOOKUP("dow_"&amp;IF(WEEKDAY(X38+tzOffset/24,2)=0,7,WEEKDAY(X38+tzOffset/24,2)),langTable,MATCH(langName,_lang!$A$1:$F$1,0),FALSE())</f>
        <v>Thu</v>
      </c>
      <c r="G38" s="108" t="str">
        <f t="shared" si="0"/>
        <v>23:00</v>
      </c>
      <c r="H38" s="112" t="s">
        <v>14</v>
      </c>
      <c r="I38" s="109" t="s">
        <v>15</v>
      </c>
      <c r="J38" s="109" t="s">
        <v>22</v>
      </c>
      <c r="K38" s="109" t="s">
        <v>34</v>
      </c>
      <c r="L38" s="109" t="str">
        <f t="shared" si="1"/>
        <v>Vancouver</v>
      </c>
      <c r="M38" s="110">
        <f t="shared" si="2"/>
        <v>54500</v>
      </c>
      <c r="N38" s="258"/>
      <c r="O38" s="259"/>
      <c r="P38" s="260"/>
      <c r="Q38" s="260"/>
      <c r="R38" s="154">
        <f t="shared" si="3"/>
        <v>0</v>
      </c>
      <c r="S38" s="155">
        <f t="shared" si="4"/>
        <v>0</v>
      </c>
      <c r="T38" s="119">
        <f t="shared" si="5"/>
        <v>0</v>
      </c>
      <c r="U38" s="140" t="str">
        <f>IF(T38=1,IF(R38&gt;S38,I38&amp;VLOOKUP("win_suffix",langTable,MATCH(langName,_lang!$A$1:$F$1,0),FALSE()),IF(R38&lt;S38,J38&amp;VLOOKUP("win_suffix",langTable,MATCH(langName,_lang!$A$1:$F$1,0),FALSE()),VLOOKUP("draw",langTable,MATCH(langName,_lang!$A$1:$F$1,0),FALSE()))),"")</f>
        <v/>
      </c>
      <c r="V38" s="138" t="str">
        <f>IF(AND(tzCode="UK",langCode="EN"),IF(1,"ITV","BBC"),"")</f>
        <v>ITV</v>
      </c>
      <c r="W38" s="139" t="str">
        <f>VLOOKUP("pens_na",langTable,MATCH(langName,_lang!$A$1:$F$1,0),FALSE())</f>
        <v>N/A</v>
      </c>
      <c r="X38" s="58">
        <v>46191.916666666657</v>
      </c>
      <c r="Y38" s="45"/>
      <c r="Z38" s="45"/>
      <c r="AA38" s="59">
        <f t="shared" ca="1" si="6"/>
        <v>27</v>
      </c>
      <c r="AB38" s="231"/>
      <c r="AC38" s="60" t="str">
        <f>IF(OR(AD38="",AE38="",LEFT(I38,3)="TBC",LEFT(J38,3)="TBC"),"",IFERROR(IF(COUNTIF(_h2h!$H$2:$H$94,AF38)=0,VLOOKUP("h2h_none",langTable,MATCH(langName,_lang!$A$1:$F$1,0),FALSE),IF(COUNTIF(_h2h!$H$2:$H$94,AF38)=1,"Met once · "&amp;INDEX(_h2h!$I$2:$I$94,MATCH(AF38,_h2h!$H$2:$H$94,0)),"Met "&amp;COUNTIF(_h2h!$H$2:$H$94,AF38)&amp;"× · last: "&amp;INDEX(_h2h!$I$2:$I$94,MATCH(AF38,_h2h!$H$2:$H$94,0)))),""))</f>
        <v>First WC meeting</v>
      </c>
      <c r="AD38" s="47" t="str">
        <f t="shared" si="7"/>
        <v>Canada</v>
      </c>
      <c r="AE38" s="47" t="str">
        <f t="shared" si="8"/>
        <v>Qatar</v>
      </c>
      <c r="AF38" s="47" t="str">
        <f t="shared" si="9"/>
        <v>Canada|Qatar</v>
      </c>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2:59" ht="15" customHeight="1">
      <c r="B39" s="57"/>
      <c r="C39" s="230"/>
      <c r="D39" s="112">
        <v>28</v>
      </c>
      <c r="E39" s="108" t="str">
        <f>DAY(X39+tzOffset/24)&amp;" "&amp;VLOOKUP("month_"&amp;MONTH(X39+tzOffset/24),langTable,MATCH(langName,_lang!$A$1:$F$1,0),FALSE())</f>
        <v>19 Jun</v>
      </c>
      <c r="F39" s="108" t="str">
        <f>VLOOKUP("dow_"&amp;IF(WEEKDAY(X39+tzOffset/24,2)=0,7,WEEKDAY(X39+tzOffset/24,2)),langTable,MATCH(langName,_lang!$A$1:$F$1,0),FALSE())</f>
        <v>Fri</v>
      </c>
      <c r="G39" s="108" t="str">
        <f t="shared" si="0"/>
        <v>02:00</v>
      </c>
      <c r="H39" s="112" t="s">
        <v>7</v>
      </c>
      <c r="I39" s="109" t="s">
        <v>8</v>
      </c>
      <c r="J39" s="109" t="s">
        <v>11</v>
      </c>
      <c r="K39" s="109" t="s">
        <v>13</v>
      </c>
      <c r="L39" s="109" t="str">
        <f t="shared" si="1"/>
        <v>Zapopan (Guadalajara)</v>
      </c>
      <c r="M39" s="110">
        <f t="shared" si="2"/>
        <v>48071</v>
      </c>
      <c r="N39" s="258"/>
      <c r="O39" s="259"/>
      <c r="P39" s="260"/>
      <c r="Q39" s="260"/>
      <c r="R39" s="154">
        <f t="shared" si="3"/>
        <v>0</v>
      </c>
      <c r="S39" s="155">
        <f t="shared" si="4"/>
        <v>0</v>
      </c>
      <c r="T39" s="119">
        <f t="shared" si="5"/>
        <v>0</v>
      </c>
      <c r="U39" s="140" t="str">
        <f>IF(T39=1,IF(R39&gt;S39,I39&amp;VLOOKUP("win_suffix",langTable,MATCH(langName,_lang!$A$1:$F$1,0),FALSE()),IF(R39&lt;S39,J39&amp;VLOOKUP("win_suffix",langTable,MATCH(langName,_lang!$A$1:$F$1,0),FALSE()),VLOOKUP("draw",langTable,MATCH(langName,_lang!$A$1:$F$1,0),FALSE()))),"")</f>
        <v/>
      </c>
      <c r="V39" s="138" t="str">
        <f>IF(AND(tzCode="UK",langCode="EN"),IF(0,"ITV","BBC"),"")</f>
        <v>BBC</v>
      </c>
      <c r="W39" s="139" t="str">
        <f>VLOOKUP("pens_na",langTable,MATCH(langName,_lang!$A$1:$F$1,0),FALSE())</f>
        <v>N/A</v>
      </c>
      <c r="X39" s="58">
        <v>46192.041666666657</v>
      </c>
      <c r="Y39" s="45"/>
      <c r="Z39" s="45"/>
      <c r="AA39" s="59">
        <f t="shared" ca="1" si="6"/>
        <v>28</v>
      </c>
      <c r="AB39" s="231"/>
      <c r="AC39" s="60" t="str">
        <f>IF(OR(AD39="",AE39="",LEFT(I39,3)="TBC",LEFT(J39,3)="TBC"),"",IFERROR(IF(COUNTIF(_h2h!$H$2:$H$94,AF39)=0,VLOOKUP("h2h_none",langTable,MATCH(langName,_lang!$A$1:$F$1,0),FALSE),IF(COUNTIF(_h2h!$H$2:$H$94,AF39)=1,"Met once · "&amp;INDEX(_h2h!$I$2:$I$94,MATCH(AF39,_h2h!$H$2:$H$94,0)),"Met "&amp;COUNTIF(_h2h!$H$2:$H$94,AF39)&amp;"× · last: "&amp;INDEX(_h2h!$I$2:$I$94,MATCH(AF39,_h2h!$H$2:$H$94,0)))),""))</f>
        <v>First WC meeting</v>
      </c>
      <c r="AD39" s="47" t="str">
        <f t="shared" si="7"/>
        <v>Mexico</v>
      </c>
      <c r="AE39" s="47" t="str">
        <f t="shared" si="8"/>
        <v>South Korea</v>
      </c>
      <c r="AF39" s="47" t="str">
        <f t="shared" si="9"/>
        <v>Mexico|South Korea</v>
      </c>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2:59" ht="15" customHeight="1">
      <c r="B40" s="57"/>
      <c r="C40" s="230"/>
      <c r="D40" s="112">
        <v>29</v>
      </c>
      <c r="E40" s="108" t="str">
        <f>DAY(X40+tzOffset/24)&amp;" "&amp;VLOOKUP("month_"&amp;MONTH(X40+tzOffset/24),langTable,MATCH(langName,_lang!$A$1:$F$1,0),FALSE())</f>
        <v>19 Jun</v>
      </c>
      <c r="F40" s="108" t="str">
        <f>VLOOKUP("dow_"&amp;IF(WEEKDAY(X40+tzOffset/24,2)=0,7,WEEKDAY(X40+tzOffset/24,2)),langTable,MATCH(langName,_lang!$A$1:$F$1,0),FALSE())</f>
        <v>Fri</v>
      </c>
      <c r="G40" s="108" t="str">
        <f t="shared" si="0"/>
        <v>20:00</v>
      </c>
      <c r="H40" s="112" t="s">
        <v>18</v>
      </c>
      <c r="I40" s="109" t="s">
        <v>19</v>
      </c>
      <c r="J40" s="109" t="s">
        <v>32</v>
      </c>
      <c r="K40" s="109" t="s">
        <v>56</v>
      </c>
      <c r="L40" s="109" t="str">
        <f t="shared" si="1"/>
        <v>Seattle</v>
      </c>
      <c r="M40" s="110">
        <f t="shared" si="2"/>
        <v>68740</v>
      </c>
      <c r="N40" s="258"/>
      <c r="O40" s="259"/>
      <c r="P40" s="260"/>
      <c r="Q40" s="260"/>
      <c r="R40" s="154">
        <f t="shared" si="3"/>
        <v>0</v>
      </c>
      <c r="S40" s="155">
        <f t="shared" si="4"/>
        <v>0</v>
      </c>
      <c r="T40" s="119">
        <f t="shared" si="5"/>
        <v>0</v>
      </c>
      <c r="U40" s="140" t="str">
        <f>IF(T40=1,IF(R40&gt;S40,I40&amp;VLOOKUP("win_suffix",langTable,MATCH(langName,_lang!$A$1:$F$1,0),FALSE()),IF(R40&lt;S40,J40&amp;VLOOKUP("win_suffix",langTable,MATCH(langName,_lang!$A$1:$F$1,0),FALSE()),VLOOKUP("draw",langTable,MATCH(langName,_lang!$A$1:$F$1,0),FALSE()))),"")</f>
        <v/>
      </c>
      <c r="V40" s="138" t="str">
        <f>IF(AND(tzCode="UK",langCode="EN"),IF(0,"ITV","BBC"),"")</f>
        <v>BBC</v>
      </c>
      <c r="W40" s="139" t="str">
        <f>VLOOKUP("pens_na",langTable,MATCH(langName,_lang!$A$1:$F$1,0),FALSE())</f>
        <v>N/A</v>
      </c>
      <c r="X40" s="58">
        <v>46192.791666666657</v>
      </c>
      <c r="Y40" s="45"/>
      <c r="Z40" s="45"/>
      <c r="AA40" s="59">
        <f t="shared" ca="1" si="6"/>
        <v>29</v>
      </c>
      <c r="AB40" s="231"/>
      <c r="AC40" s="60" t="str">
        <f>IF(OR(AD40="",AE40="",LEFT(I40,3)="TBC",LEFT(J40,3)="TBC"),"",IFERROR(IF(COUNTIF(_h2h!$H$2:$H$94,AF40)=0,VLOOKUP("h2h_none",langTable,MATCH(langName,_lang!$A$1:$F$1,0),FALSE),IF(COUNTIF(_h2h!$H$2:$H$94,AF40)=1,"Met once · "&amp;INDEX(_h2h!$I$2:$I$94,MATCH(AF40,_h2h!$H$2:$H$94,0)),"Met "&amp;COUNTIF(_h2h!$H$2:$H$94,AF40)&amp;"× · last: "&amp;INDEX(_h2h!$I$2:$I$94,MATCH(AF40,_h2h!$H$2:$H$94,0)))),""))</f>
        <v>First WC meeting</v>
      </c>
      <c r="AD40" s="47" t="str">
        <f t="shared" si="7"/>
        <v>USA</v>
      </c>
      <c r="AE40" s="47" t="str">
        <f t="shared" si="8"/>
        <v>Australia</v>
      </c>
      <c r="AF40" s="47" t="str">
        <f t="shared" si="9"/>
        <v>Australia|USA</v>
      </c>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row>
    <row r="41" spans="2:59" ht="15" customHeight="1">
      <c r="B41" s="57"/>
      <c r="C41" s="230"/>
      <c r="D41" s="112">
        <v>30</v>
      </c>
      <c r="E41" s="108" t="str">
        <f>DAY(X41+tzOffset/24)&amp;" "&amp;VLOOKUP("month_"&amp;MONTH(X41+tzOffset/24),langTable,MATCH(langName,_lang!$A$1:$F$1,0),FALSE())</f>
        <v>19 Jun</v>
      </c>
      <c r="F41" s="108" t="str">
        <f>VLOOKUP("dow_"&amp;IF(WEEKDAY(X41+tzOffset/24,2)=0,7,WEEKDAY(X41+tzOffset/24,2)),langTable,MATCH(langName,_lang!$A$1:$F$1,0),FALSE())</f>
        <v>Fri</v>
      </c>
      <c r="G41" s="108" t="str">
        <f t="shared" si="0"/>
        <v>23:00</v>
      </c>
      <c r="H41" s="112" t="s">
        <v>25</v>
      </c>
      <c r="I41" s="109" t="s">
        <v>30</v>
      </c>
      <c r="J41" s="109" t="s">
        <v>27</v>
      </c>
      <c r="K41" s="109" t="s">
        <v>31</v>
      </c>
      <c r="L41" s="109" t="str">
        <f t="shared" si="1"/>
        <v>Foxborough (Boston)</v>
      </c>
      <c r="M41" s="110">
        <f t="shared" si="2"/>
        <v>64628</v>
      </c>
      <c r="N41" s="258"/>
      <c r="O41" s="259"/>
      <c r="P41" s="260"/>
      <c r="Q41" s="260"/>
      <c r="R41" s="154">
        <f t="shared" si="3"/>
        <v>0</v>
      </c>
      <c r="S41" s="155">
        <f t="shared" si="4"/>
        <v>0</v>
      </c>
      <c r="T41" s="119">
        <f t="shared" si="5"/>
        <v>0</v>
      </c>
      <c r="U41" s="140" t="str">
        <f>IF(T41=1,IF(R41&gt;S41,I41&amp;VLOOKUP("win_suffix",langTable,MATCH(langName,_lang!$A$1:$F$1,0),FALSE()),IF(R41&lt;S41,J41&amp;VLOOKUP("win_suffix",langTable,MATCH(langName,_lang!$A$1:$F$1,0),FALSE()),VLOOKUP("draw",langTable,MATCH(langName,_lang!$A$1:$F$1,0),FALSE()))),"")</f>
        <v/>
      </c>
      <c r="V41" s="138" t="str">
        <f>IF(AND(tzCode="UK",langCode="EN"),IF(1,"ITV","BBC"),"")</f>
        <v>ITV</v>
      </c>
      <c r="W41" s="139" t="str">
        <f>VLOOKUP("pens_na",langTable,MATCH(langName,_lang!$A$1:$F$1,0),FALSE())</f>
        <v>N/A</v>
      </c>
      <c r="X41" s="58">
        <v>46192.916666666657</v>
      </c>
      <c r="Y41" s="45"/>
      <c r="Z41" s="45"/>
      <c r="AA41" s="59">
        <f t="shared" ca="1" si="6"/>
        <v>30</v>
      </c>
      <c r="AB41" s="231"/>
      <c r="AC41" s="60" t="str">
        <f>IF(OR(AD41="",AE41="",LEFT(I41,3)="TBC",LEFT(J41,3)="TBC"),"",IFERROR(IF(COUNTIF(_h2h!$H$2:$H$94,AF41)=0,VLOOKUP("h2h_none",langTable,MATCH(langName,_lang!$A$1:$F$1,0),FALSE),IF(COUNTIF(_h2h!$H$2:$H$94,AF41)=1,"Met once · "&amp;INDEX(_h2h!$I$2:$I$94,MATCH(AF41,_h2h!$H$2:$H$94,0)),"Met "&amp;COUNTIF(_h2h!$H$2:$H$94,AF41)&amp;"× · last: "&amp;INDEX(_h2h!$I$2:$I$94,MATCH(AF41,_h2h!$H$2:$H$94,0)))),""))</f>
        <v>First WC meeting</v>
      </c>
      <c r="AD41" s="47" t="str">
        <f t="shared" si="7"/>
        <v>Scotland</v>
      </c>
      <c r="AE41" s="47" t="str">
        <f t="shared" si="8"/>
        <v>Morocco</v>
      </c>
      <c r="AF41" s="47" t="str">
        <f t="shared" si="9"/>
        <v>Morocco|Scotland</v>
      </c>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row>
    <row r="42" spans="2:59" ht="15" customHeight="1">
      <c r="B42" s="57"/>
      <c r="C42" s="230"/>
      <c r="D42" s="112">
        <v>31</v>
      </c>
      <c r="E42" s="108" t="str">
        <f>DAY(X42+tzOffset/24)&amp;" "&amp;VLOOKUP("month_"&amp;MONTH(X42+tzOffset/24),langTable,MATCH(langName,_lang!$A$1:$F$1,0),FALSE())</f>
        <v>20 Jun</v>
      </c>
      <c r="F42" s="108" t="str">
        <f>VLOOKUP("dow_"&amp;IF(WEEKDAY(X42+tzOffset/24,2)=0,7,WEEKDAY(X42+tzOffset/24,2)),langTable,MATCH(langName,_lang!$A$1:$F$1,0),FALSE())</f>
        <v>Sat</v>
      </c>
      <c r="G42" s="108" t="str">
        <f t="shared" si="0"/>
        <v>01:30</v>
      </c>
      <c r="H42" s="112" t="s">
        <v>25</v>
      </c>
      <c r="I42" s="109" t="s">
        <v>26</v>
      </c>
      <c r="J42" s="109" t="s">
        <v>29</v>
      </c>
      <c r="K42" s="109" t="s">
        <v>45</v>
      </c>
      <c r="L42" s="109" t="str">
        <f t="shared" si="1"/>
        <v>Philadelphia</v>
      </c>
      <c r="M42" s="110">
        <f t="shared" si="2"/>
        <v>69176</v>
      </c>
      <c r="N42" s="258"/>
      <c r="O42" s="259"/>
      <c r="P42" s="260"/>
      <c r="Q42" s="260"/>
      <c r="R42" s="154">
        <f t="shared" si="3"/>
        <v>0</v>
      </c>
      <c r="S42" s="155">
        <f t="shared" si="4"/>
        <v>0</v>
      </c>
      <c r="T42" s="119">
        <f t="shared" si="5"/>
        <v>0</v>
      </c>
      <c r="U42" s="140" t="str">
        <f>IF(T42=1,IF(R42&gt;S42,I42&amp;VLOOKUP("win_suffix",langTable,MATCH(langName,_lang!$A$1:$F$1,0),FALSE()),IF(R42&lt;S42,J42&amp;VLOOKUP("win_suffix",langTable,MATCH(langName,_lang!$A$1:$F$1,0),FALSE()),VLOOKUP("draw",langTable,MATCH(langName,_lang!$A$1:$F$1,0),FALSE()))),"")</f>
        <v/>
      </c>
      <c r="V42" s="138" t="str">
        <f>IF(AND(tzCode="UK",langCode="EN"),IF(1,"ITV","BBC"),"")</f>
        <v>ITV</v>
      </c>
      <c r="W42" s="139" t="str">
        <f>VLOOKUP("pens_na",langTable,MATCH(langName,_lang!$A$1:$F$1,0),FALSE())</f>
        <v>N/A</v>
      </c>
      <c r="X42" s="58">
        <v>46193.020833333343</v>
      </c>
      <c r="Y42" s="45"/>
      <c r="Z42" s="45"/>
      <c r="AA42" s="59">
        <f t="shared" ca="1" si="6"/>
        <v>31</v>
      </c>
      <c r="AB42" s="231"/>
      <c r="AC42" s="60" t="str">
        <f>IF(OR(AD42="",AE42="",LEFT(I42,3)="TBC",LEFT(J42,3)="TBC"),"",IFERROR(IF(COUNTIF(_h2h!$H$2:$H$94,AF42)=0,VLOOKUP("h2h_none",langTable,MATCH(langName,_lang!$A$1:$F$1,0),FALSE),IF(COUNTIF(_h2h!$H$2:$H$94,AF42)=1,"Met once · "&amp;INDEX(_h2h!$I$2:$I$94,MATCH(AF42,_h2h!$H$2:$H$94,0)),"Met "&amp;COUNTIF(_h2h!$H$2:$H$94,AF42)&amp;"× · last: "&amp;INDEX(_h2h!$I$2:$I$94,MATCH(AF42,_h2h!$H$2:$H$94,0)))),""))</f>
        <v>First WC meeting</v>
      </c>
      <c r="AD42" s="47" t="str">
        <f t="shared" si="7"/>
        <v>Brazil</v>
      </c>
      <c r="AE42" s="47" t="str">
        <f t="shared" si="8"/>
        <v>Haiti</v>
      </c>
      <c r="AF42" s="47" t="str">
        <f t="shared" si="9"/>
        <v>Brazil|Haiti</v>
      </c>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row>
    <row r="43" spans="2:59" ht="15" customHeight="1">
      <c r="B43" s="57"/>
      <c r="C43" s="230"/>
      <c r="D43" s="112">
        <v>32</v>
      </c>
      <c r="E43" s="108" t="str">
        <f>DAY(X43+tzOffset/24)&amp;" "&amp;VLOOKUP("month_"&amp;MONTH(X43+tzOffset/24),langTable,MATCH(langName,_lang!$A$1:$F$1,0),FALSE())</f>
        <v>20 Jun</v>
      </c>
      <c r="F43" s="108" t="str">
        <f>VLOOKUP("dow_"&amp;IF(WEEKDAY(X43+tzOffset/24,2)=0,7,WEEKDAY(X43+tzOffset/24,2)),langTable,MATCH(langName,_lang!$A$1:$F$1,0),FALSE())</f>
        <v>Sat</v>
      </c>
      <c r="G43" s="108" t="str">
        <f t="shared" si="0"/>
        <v>04:00</v>
      </c>
      <c r="H43" s="112" t="s">
        <v>18</v>
      </c>
      <c r="I43" s="109" t="s">
        <v>33</v>
      </c>
      <c r="J43" s="109" t="s">
        <v>20</v>
      </c>
      <c r="K43" s="109" t="s">
        <v>24</v>
      </c>
      <c r="L43" s="109" t="str">
        <f t="shared" si="1"/>
        <v>Santa Clara (SF Bay Area)</v>
      </c>
      <c r="M43" s="110">
        <f t="shared" si="2"/>
        <v>70909</v>
      </c>
      <c r="N43" s="258"/>
      <c r="O43" s="259"/>
      <c r="P43" s="260"/>
      <c r="Q43" s="260"/>
      <c r="R43" s="154">
        <f t="shared" si="3"/>
        <v>0</v>
      </c>
      <c r="S43" s="155">
        <f t="shared" si="4"/>
        <v>0</v>
      </c>
      <c r="T43" s="119">
        <f t="shared" si="5"/>
        <v>0</v>
      </c>
      <c r="U43" s="140" t="str">
        <f>IF(T43=1,IF(R43&gt;S43,I43&amp;VLOOKUP("win_suffix",langTable,MATCH(langName,_lang!$A$1:$F$1,0),FALSE()),IF(R43&lt;S43,J43&amp;VLOOKUP("win_suffix",langTable,MATCH(langName,_lang!$A$1:$F$1,0),FALSE()),VLOOKUP("draw",langTable,MATCH(langName,_lang!$A$1:$F$1,0),FALSE()))),"")</f>
        <v/>
      </c>
      <c r="V43" s="138" t="str">
        <f>IF(AND(tzCode="UK",langCode="EN"),IF(1,"ITV","BBC"),"")</f>
        <v>ITV</v>
      </c>
      <c r="W43" s="139" t="str">
        <f>VLOOKUP("pens_na",langTable,MATCH(langName,_lang!$A$1:$F$1,0),FALSE())</f>
        <v>N/A</v>
      </c>
      <c r="X43" s="58">
        <v>46193.125</v>
      </c>
      <c r="Y43" s="45"/>
      <c r="Z43" s="45"/>
      <c r="AA43" s="59">
        <f t="shared" ca="1" si="6"/>
        <v>32</v>
      </c>
      <c r="AB43" s="231"/>
      <c r="AC43" s="60" t="str">
        <f>IF(OR(AD43="",AE43="",LEFT(I43,3)="TBC",LEFT(J43,3)="TBC"),"",IFERROR(IF(COUNTIF(_h2h!$H$2:$H$94,AF43)=0,VLOOKUP("h2h_none",langTable,MATCH(langName,_lang!$A$1:$F$1,0),FALSE),IF(COUNTIF(_h2h!$H$2:$H$94,AF43)=1,"Met once · "&amp;INDEX(_h2h!$I$2:$I$94,MATCH(AF43,_h2h!$H$2:$H$94,0)),"Met "&amp;COUNTIF(_h2h!$H$2:$H$94,AF43)&amp;"× · last: "&amp;INDEX(_h2h!$I$2:$I$94,MATCH(AF43,_h2h!$H$2:$H$94,0)))),""))</f>
        <v>First WC meeting</v>
      </c>
      <c r="AD43" s="47" t="str">
        <f t="shared" si="7"/>
        <v>Turkey</v>
      </c>
      <c r="AE43" s="47" t="str">
        <f t="shared" si="8"/>
        <v>Paraguay</v>
      </c>
      <c r="AF43" s="47" t="str">
        <f t="shared" si="9"/>
        <v>Paraguay|Turkey</v>
      </c>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row>
    <row r="44" spans="2:59" ht="15" customHeight="1">
      <c r="B44" s="57"/>
      <c r="C44" s="230"/>
      <c r="D44" s="112">
        <v>33</v>
      </c>
      <c r="E44" s="108" t="str">
        <f>DAY(X44+tzOffset/24)&amp;" "&amp;VLOOKUP("month_"&amp;MONTH(X44+tzOffset/24),langTable,MATCH(langName,_lang!$A$1:$F$1,0),FALSE())</f>
        <v>20 Jun</v>
      </c>
      <c r="F44" s="108" t="str">
        <f>VLOOKUP("dow_"&amp;IF(WEEKDAY(X44+tzOffset/24,2)=0,7,WEEKDAY(X44+tzOffset/24,2)),langTable,MATCH(langName,_lang!$A$1:$F$1,0),FALSE())</f>
        <v>Sat</v>
      </c>
      <c r="G44" s="108" t="str">
        <f t="shared" ref="G44:G75" si="10">TEXT(X44+tzOffset/24,"hh:mm")</f>
        <v>18:00</v>
      </c>
      <c r="H44" s="112" t="s">
        <v>39</v>
      </c>
      <c r="I44" s="109" t="s">
        <v>40</v>
      </c>
      <c r="J44" s="109" t="s">
        <v>46</v>
      </c>
      <c r="K44" s="109" t="s">
        <v>38</v>
      </c>
      <c r="L44" s="109" t="str">
        <f t="shared" ref="L44:L75" si="11">VLOOKUP(K44,Stadiums_lookup,2,FALSE())</f>
        <v>Houston</v>
      </c>
      <c r="M44" s="110">
        <f t="shared" ref="M44:M75" si="12">VLOOKUP(K44,Stadiums_lookup,4,FALSE())</f>
        <v>72220</v>
      </c>
      <c r="N44" s="258"/>
      <c r="O44" s="259"/>
      <c r="P44" s="260"/>
      <c r="Q44" s="260"/>
      <c r="R44" s="154">
        <f t="shared" ref="R44:R75" si="13">IF(ISNUMBER(P44),P44,IF(ISNUMBER(N44),N44,0))</f>
        <v>0</v>
      </c>
      <c r="S44" s="155">
        <f t="shared" ref="S44:S75" si="14">IF(ISNUMBER(Q44),Q44,IF(ISNUMBER(O44),O44,0))</f>
        <v>0</v>
      </c>
      <c r="T44" s="119">
        <f t="shared" ref="T44:T75" si="15">(ISNUMBER(N44)+ISNUMBER(P44)&gt;0)*(ISNUMBER(O44)+ISNUMBER(Q44)&gt;0)</f>
        <v>0</v>
      </c>
      <c r="U44" s="140" t="str">
        <f>IF(T44=1,IF(R44&gt;S44,I44&amp;VLOOKUP("win_suffix",langTable,MATCH(langName,_lang!$A$1:$F$1,0),FALSE()),IF(R44&lt;S44,J44&amp;VLOOKUP("win_suffix",langTable,MATCH(langName,_lang!$A$1:$F$1,0),FALSE()),VLOOKUP("draw",langTable,MATCH(langName,_lang!$A$1:$F$1,0),FALSE()))),"")</f>
        <v/>
      </c>
      <c r="V44" s="138" t="str">
        <f>IF(AND(tzCode="UK",langCode="EN"),IF(0,"ITV","BBC"),"")</f>
        <v>BBC</v>
      </c>
      <c r="W44" s="139" t="str">
        <f>VLOOKUP("pens_na",langTable,MATCH(langName,_lang!$A$1:$F$1,0),FALSE())</f>
        <v>N/A</v>
      </c>
      <c r="X44" s="58">
        <v>46193.708333333343</v>
      </c>
      <c r="Y44" s="45"/>
      <c r="Z44" s="45"/>
      <c r="AA44" s="59">
        <f t="shared" ref="AA44:AA75" ca="1" si="16">IF(X44&gt;=NOW(),COUNTIFS($X$12:$X$115,"&gt;="&amp;NOW(),$X$12:$X$115,"&lt;"&amp;X44)+COUNTIFS($X$12:$X$115,"="&amp;X44,$D$12:$D$115,"&lt;"&amp;D44)+1,999)</f>
        <v>33</v>
      </c>
      <c r="AB44" s="231"/>
      <c r="AC44" s="60" t="str">
        <f>IF(OR(AD44="",AE44="",LEFT(I44,3)="TBC",LEFT(J44,3)="TBC"),"",IFERROR(IF(COUNTIF(_h2h!$H$2:$H$94,AF44)=0,VLOOKUP("h2h_none",langTable,MATCH(langName,_lang!$A$1:$F$1,0),FALSE),IF(COUNTIF(_h2h!$H$2:$H$94,AF44)=1,"Met once · "&amp;INDEX(_h2h!$I$2:$I$94,MATCH(AF44,_h2h!$H$2:$H$94,0)),"Met "&amp;COUNTIF(_h2h!$H$2:$H$94,AF44)&amp;"× · last: "&amp;INDEX(_h2h!$I$2:$I$94,MATCH(AF44,_h2h!$H$2:$H$94,0)))),""))</f>
        <v>First WC meeting</v>
      </c>
      <c r="AD44" s="47" t="str">
        <f t="shared" ref="AD44:AD75" si="17">IFERROR(TRIM(MID(I44,FIND(" ",I44)+1,999)),"")</f>
        <v>Netherlands</v>
      </c>
      <c r="AE44" s="47" t="str">
        <f t="shared" ref="AE44:AE75" si="18">IFERROR(TRIM(MID(J44,FIND(" ",J44)+1,999)),"")</f>
        <v>Sweden</v>
      </c>
      <c r="AF44" s="47" t="str">
        <f t="shared" ref="AF44:AF75" si="19">IF(OR(AD44="",AE44=""),"",IF(AD44&lt;AE44,AD44&amp;"|"&amp;AE44,AE44&amp;"|"&amp;AD44))</f>
        <v>Netherlands|Sweden</v>
      </c>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row>
    <row r="45" spans="2:59" ht="15" customHeight="1">
      <c r="B45" s="57"/>
      <c r="C45" s="230"/>
      <c r="D45" s="112">
        <v>34</v>
      </c>
      <c r="E45" s="108" t="str">
        <f>DAY(X45+tzOffset/24)&amp;" "&amp;VLOOKUP("month_"&amp;MONTH(X45+tzOffset/24),langTable,MATCH(langName,_lang!$A$1:$F$1,0),FALSE())</f>
        <v>20 Jun</v>
      </c>
      <c r="F45" s="108" t="str">
        <f>VLOOKUP("dow_"&amp;IF(WEEKDAY(X45+tzOffset/24,2)=0,7,WEEKDAY(X45+tzOffset/24,2)),langTable,MATCH(langName,_lang!$A$1:$F$1,0),FALSE())</f>
        <v>Sat</v>
      </c>
      <c r="G45" s="108" t="str">
        <f t="shared" si="10"/>
        <v>21:00</v>
      </c>
      <c r="H45" s="112" t="s">
        <v>35</v>
      </c>
      <c r="I45" s="109" t="s">
        <v>36</v>
      </c>
      <c r="J45" s="109" t="s">
        <v>43</v>
      </c>
      <c r="K45" s="109" t="s">
        <v>17</v>
      </c>
      <c r="L45" s="109" t="str">
        <f t="shared" si="11"/>
        <v>Toronto</v>
      </c>
      <c r="M45" s="110">
        <f t="shared" si="12"/>
        <v>45736</v>
      </c>
      <c r="N45" s="258"/>
      <c r="O45" s="259"/>
      <c r="P45" s="260"/>
      <c r="Q45" s="260"/>
      <c r="R45" s="154">
        <f t="shared" si="13"/>
        <v>0</v>
      </c>
      <c r="S45" s="155">
        <f t="shared" si="14"/>
        <v>0</v>
      </c>
      <c r="T45" s="119">
        <f t="shared" si="15"/>
        <v>0</v>
      </c>
      <c r="U45" s="140" t="str">
        <f>IF(T45=1,IF(R45&gt;S45,I45&amp;VLOOKUP("win_suffix",langTable,MATCH(langName,_lang!$A$1:$F$1,0),FALSE()),IF(R45&lt;S45,J45&amp;VLOOKUP("win_suffix",langTable,MATCH(langName,_lang!$A$1:$F$1,0),FALSE()),VLOOKUP("draw",langTable,MATCH(langName,_lang!$A$1:$F$1,0),FALSE()))),"")</f>
        <v/>
      </c>
      <c r="V45" s="138" t="str">
        <f>IF(AND(tzCode="UK",langCode="EN"),IF(1,"ITV","BBC"),"")</f>
        <v>ITV</v>
      </c>
      <c r="W45" s="139" t="str">
        <f>VLOOKUP("pens_na",langTable,MATCH(langName,_lang!$A$1:$F$1,0),FALSE())</f>
        <v>N/A</v>
      </c>
      <c r="X45" s="58">
        <v>46193.833333333343</v>
      </c>
      <c r="Y45" s="45"/>
      <c r="Z45" s="45"/>
      <c r="AA45" s="59">
        <f t="shared" ca="1" si="16"/>
        <v>34</v>
      </c>
      <c r="AB45" s="231"/>
      <c r="AC45" s="60" t="str">
        <f>IF(OR(AD45="",AE45="",LEFT(I45,3)="TBC",LEFT(J45,3)="TBC"),"",IFERROR(IF(COUNTIF(_h2h!$H$2:$H$94,AF45)=0,VLOOKUP("h2h_none",langTable,MATCH(langName,_lang!$A$1:$F$1,0),FALSE),IF(COUNTIF(_h2h!$H$2:$H$94,AF45)=1,"Met once · "&amp;INDEX(_h2h!$I$2:$I$94,MATCH(AF45,_h2h!$H$2:$H$94,0)),"Met "&amp;COUNTIF(_h2h!$H$2:$H$94,AF45)&amp;"× · last: "&amp;INDEX(_h2h!$I$2:$I$94,MATCH(AF45,_h2h!$H$2:$H$94,0)))),""))</f>
        <v>First WC meeting</v>
      </c>
      <c r="AD45" s="47" t="str">
        <f t="shared" si="17"/>
        <v>Germany</v>
      </c>
      <c r="AE45" s="47" t="str">
        <f t="shared" si="18"/>
        <v>Ivory Coast</v>
      </c>
      <c r="AF45" s="47" t="str">
        <f t="shared" si="19"/>
        <v>Germany|Ivory Coast</v>
      </c>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row>
    <row r="46" spans="2:59" ht="15" customHeight="1">
      <c r="B46" s="57"/>
      <c r="C46" s="230"/>
      <c r="D46" s="112">
        <v>35</v>
      </c>
      <c r="E46" s="108" t="str">
        <f>DAY(X46+tzOffset/24)&amp;" "&amp;VLOOKUP("month_"&amp;MONTH(X46+tzOffset/24),langTable,MATCH(langName,_lang!$A$1:$F$1,0),FALSE())</f>
        <v>21 Jun</v>
      </c>
      <c r="F46" s="108" t="str">
        <f>VLOOKUP("dow_"&amp;IF(WEEKDAY(X46+tzOffset/24,2)=0,7,WEEKDAY(X46+tzOffset/24,2)),langTable,MATCH(langName,_lang!$A$1:$F$1,0),FALSE())</f>
        <v>Sun</v>
      </c>
      <c r="G46" s="108" t="str">
        <f t="shared" si="10"/>
        <v>01:00</v>
      </c>
      <c r="H46" s="112" t="s">
        <v>35</v>
      </c>
      <c r="I46" s="109" t="s">
        <v>44</v>
      </c>
      <c r="J46" s="109" t="s">
        <v>37</v>
      </c>
      <c r="K46" s="109" t="s">
        <v>70</v>
      </c>
      <c r="L46" s="109" t="str">
        <f t="shared" si="11"/>
        <v>Kansas City</v>
      </c>
      <c r="M46" s="110">
        <f t="shared" si="12"/>
        <v>76416</v>
      </c>
      <c r="N46" s="258"/>
      <c r="O46" s="259"/>
      <c r="P46" s="260"/>
      <c r="Q46" s="260"/>
      <c r="R46" s="154">
        <f t="shared" si="13"/>
        <v>0</v>
      </c>
      <c r="S46" s="155">
        <f t="shared" si="14"/>
        <v>0</v>
      </c>
      <c r="T46" s="119">
        <f t="shared" si="15"/>
        <v>0</v>
      </c>
      <c r="U46" s="140" t="str">
        <f>IF(T46=1,IF(R46&gt;S46,I46&amp;VLOOKUP("win_suffix",langTable,MATCH(langName,_lang!$A$1:$F$1,0),FALSE()),IF(R46&lt;S46,J46&amp;VLOOKUP("win_suffix",langTable,MATCH(langName,_lang!$A$1:$F$1,0),FALSE()),VLOOKUP("draw",langTable,MATCH(langName,_lang!$A$1:$F$1,0),FALSE()))),"")</f>
        <v/>
      </c>
      <c r="V46" s="138" t="str">
        <f>IF(AND(tzCode="UK",langCode="EN"),IF(0,"ITV","BBC"),"")</f>
        <v>BBC</v>
      </c>
      <c r="W46" s="139" t="str">
        <f>VLOOKUP("pens_na",langTable,MATCH(langName,_lang!$A$1:$F$1,0),FALSE())</f>
        <v>N/A</v>
      </c>
      <c r="X46" s="58">
        <v>46194</v>
      </c>
      <c r="Y46" s="45"/>
      <c r="Z46" s="45"/>
      <c r="AA46" s="59">
        <f t="shared" ca="1" si="16"/>
        <v>35</v>
      </c>
      <c r="AB46" s="231"/>
      <c r="AC46" s="60" t="str">
        <f>IF(OR(AD46="",AE46="",LEFT(I46,3)="TBC",LEFT(J46,3)="TBC"),"",IFERROR(IF(COUNTIF(_h2h!$H$2:$H$94,AF46)=0,VLOOKUP("h2h_none",langTable,MATCH(langName,_lang!$A$1:$F$1,0),FALSE),IF(COUNTIF(_h2h!$H$2:$H$94,AF46)=1,"Met once · "&amp;INDEX(_h2h!$I$2:$I$94,MATCH(AF46,_h2h!$H$2:$H$94,0)),"Met "&amp;COUNTIF(_h2h!$H$2:$H$94,AF46)&amp;"× · last: "&amp;INDEX(_h2h!$I$2:$I$94,MATCH(AF46,_h2h!$H$2:$H$94,0)))),""))</f>
        <v>First WC meeting</v>
      </c>
      <c r="AD46" s="47" t="str">
        <f t="shared" si="17"/>
        <v>Ecuador</v>
      </c>
      <c r="AE46" s="47" t="str">
        <f t="shared" si="18"/>
        <v>Curaçao</v>
      </c>
      <c r="AF46" s="47" t="str">
        <f t="shared" si="19"/>
        <v>Curaçao|Ecuador</v>
      </c>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row>
    <row r="47" spans="2:59" ht="15" customHeight="1">
      <c r="B47" s="57"/>
      <c r="C47" s="230"/>
      <c r="D47" s="112">
        <v>36</v>
      </c>
      <c r="E47" s="108" t="str">
        <f>DAY(X47+tzOffset/24)&amp;" "&amp;VLOOKUP("month_"&amp;MONTH(X47+tzOffset/24),langTable,MATCH(langName,_lang!$A$1:$F$1,0),FALSE())</f>
        <v>21 Jun</v>
      </c>
      <c r="F47" s="108" t="str">
        <f>VLOOKUP("dow_"&amp;IF(WEEKDAY(X47+tzOffset/24,2)=0,7,WEEKDAY(X47+tzOffset/24,2)),langTable,MATCH(langName,_lang!$A$1:$F$1,0),FALSE())</f>
        <v>Sun</v>
      </c>
      <c r="G47" s="108" t="str">
        <f t="shared" si="10"/>
        <v>05:00</v>
      </c>
      <c r="H47" s="112" t="s">
        <v>39</v>
      </c>
      <c r="I47" s="109" t="s">
        <v>47</v>
      </c>
      <c r="J47" s="109" t="s">
        <v>41</v>
      </c>
      <c r="K47" s="109" t="s">
        <v>48</v>
      </c>
      <c r="L47" s="109" t="str">
        <f t="shared" si="11"/>
        <v>Monterrey</v>
      </c>
      <c r="M47" s="110">
        <f t="shared" si="12"/>
        <v>53500</v>
      </c>
      <c r="N47" s="258"/>
      <c r="O47" s="259"/>
      <c r="P47" s="260"/>
      <c r="Q47" s="260"/>
      <c r="R47" s="154">
        <f t="shared" si="13"/>
        <v>0</v>
      </c>
      <c r="S47" s="155">
        <f t="shared" si="14"/>
        <v>0</v>
      </c>
      <c r="T47" s="119">
        <f t="shared" si="15"/>
        <v>0</v>
      </c>
      <c r="U47" s="140" t="str">
        <f>IF(T47=1,IF(R47&gt;S47,I47&amp;VLOOKUP("win_suffix",langTable,MATCH(langName,_lang!$A$1:$F$1,0),FALSE()),IF(R47&lt;S47,J47&amp;VLOOKUP("win_suffix",langTable,MATCH(langName,_lang!$A$1:$F$1,0),FALSE()),VLOOKUP("draw",langTable,MATCH(langName,_lang!$A$1:$F$1,0),FALSE()))),"")</f>
        <v/>
      </c>
      <c r="V47" s="138" t="str">
        <f>IF(AND(tzCode="UK",langCode="EN"),IF(0,"ITV","BBC"),"")</f>
        <v>BBC</v>
      </c>
      <c r="W47" s="139" t="str">
        <f>VLOOKUP("pens_na",langTable,MATCH(langName,_lang!$A$1:$F$1,0),FALSE())</f>
        <v>N/A</v>
      </c>
      <c r="X47" s="58">
        <v>46194.166666666657</v>
      </c>
      <c r="Y47" s="45"/>
      <c r="Z47" s="45"/>
      <c r="AA47" s="59">
        <f t="shared" ca="1" si="16"/>
        <v>36</v>
      </c>
      <c r="AB47" s="231"/>
      <c r="AC47" s="60" t="str">
        <f>IF(OR(AD47="",AE47="",LEFT(I47,3)="TBC",LEFT(J47,3)="TBC"),"",IFERROR(IF(COUNTIF(_h2h!$H$2:$H$94,AF47)=0,VLOOKUP("h2h_none",langTable,MATCH(langName,_lang!$A$1:$F$1,0),FALSE),IF(COUNTIF(_h2h!$H$2:$H$94,AF47)=1,"Met once · "&amp;INDEX(_h2h!$I$2:$I$94,MATCH(AF47,_h2h!$H$2:$H$94,0)),"Met "&amp;COUNTIF(_h2h!$H$2:$H$94,AF47)&amp;"× · last: "&amp;INDEX(_h2h!$I$2:$I$94,MATCH(AF47,_h2h!$H$2:$H$94,0)))),""))</f>
        <v>First WC meeting</v>
      </c>
      <c r="AD47" s="47" t="str">
        <f t="shared" si="17"/>
        <v>Tunisia</v>
      </c>
      <c r="AE47" s="47" t="str">
        <f t="shared" si="18"/>
        <v>Japan</v>
      </c>
      <c r="AF47" s="47" t="str">
        <f t="shared" si="19"/>
        <v>Japan|Tunisia</v>
      </c>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row>
    <row r="48" spans="2:59" ht="15" customHeight="1">
      <c r="B48" s="57"/>
      <c r="C48" s="230"/>
      <c r="D48" s="112">
        <v>37</v>
      </c>
      <c r="E48" s="108" t="str">
        <f>DAY(X48+tzOffset/24)&amp;" "&amp;VLOOKUP("month_"&amp;MONTH(X48+tzOffset/24),langTable,MATCH(langName,_lang!$A$1:$F$1,0),FALSE())</f>
        <v>21 Jun</v>
      </c>
      <c r="F48" s="108" t="str">
        <f>VLOOKUP("dow_"&amp;IF(WEEKDAY(X48+tzOffset/24,2)=0,7,WEEKDAY(X48+tzOffset/24,2)),langTable,MATCH(langName,_lang!$A$1:$F$1,0),FALSE())</f>
        <v>Sun</v>
      </c>
      <c r="G48" s="108" t="str">
        <f t="shared" si="10"/>
        <v>17:00</v>
      </c>
      <c r="H48" s="112" t="s">
        <v>49</v>
      </c>
      <c r="I48" s="109" t="s">
        <v>50</v>
      </c>
      <c r="J48" s="109" t="s">
        <v>57</v>
      </c>
      <c r="K48" s="109" t="s">
        <v>52</v>
      </c>
      <c r="L48" s="109" t="str">
        <f t="shared" si="11"/>
        <v>Atlanta</v>
      </c>
      <c r="M48" s="110">
        <f t="shared" si="12"/>
        <v>71000</v>
      </c>
      <c r="N48" s="258"/>
      <c r="O48" s="259"/>
      <c r="P48" s="260"/>
      <c r="Q48" s="260"/>
      <c r="R48" s="154">
        <f t="shared" si="13"/>
        <v>0</v>
      </c>
      <c r="S48" s="155">
        <f t="shared" si="14"/>
        <v>0</v>
      </c>
      <c r="T48" s="119">
        <f t="shared" si="15"/>
        <v>0</v>
      </c>
      <c r="U48" s="140" t="str">
        <f>IF(T48=1,IF(R48&gt;S48,I48&amp;VLOOKUP("win_suffix",langTable,MATCH(langName,_lang!$A$1:$F$1,0),FALSE()),IF(R48&lt;S48,J48&amp;VLOOKUP("win_suffix",langTable,MATCH(langName,_lang!$A$1:$F$1,0),FALSE()),VLOOKUP("draw",langTable,MATCH(langName,_lang!$A$1:$F$1,0),FALSE()))),"")</f>
        <v/>
      </c>
      <c r="V48" s="138" t="str">
        <f>IF(AND(tzCode="UK",langCode="EN"),IF(0,"ITV","BBC"),"")</f>
        <v>BBC</v>
      </c>
      <c r="W48" s="139" t="str">
        <f>VLOOKUP("pens_na",langTable,MATCH(langName,_lang!$A$1:$F$1,0),FALSE())</f>
        <v>N/A</v>
      </c>
      <c r="X48" s="58">
        <v>46194.666666666657</v>
      </c>
      <c r="Y48" s="45"/>
      <c r="Z48" s="45"/>
      <c r="AA48" s="59">
        <f t="shared" ca="1" si="16"/>
        <v>37</v>
      </c>
      <c r="AB48" s="231"/>
      <c r="AC48" s="60" t="str">
        <f>IF(OR(AD48="",AE48="",LEFT(I48,3)="TBC",LEFT(J48,3)="TBC"),"",IFERROR(IF(COUNTIF(_h2h!$H$2:$H$94,AF48)=0,VLOOKUP("h2h_none",langTable,MATCH(langName,_lang!$A$1:$F$1,0),FALSE),IF(COUNTIF(_h2h!$H$2:$H$94,AF48)=1,"Met once · "&amp;INDEX(_h2h!$I$2:$I$94,MATCH(AF48,_h2h!$H$2:$H$94,0)),"Met "&amp;COUNTIF(_h2h!$H$2:$H$94,AF48)&amp;"× · last: "&amp;INDEX(_h2h!$I$2:$I$94,MATCH(AF48,_h2h!$H$2:$H$94,0)))),""))</f>
        <v>First WC meeting</v>
      </c>
      <c r="AD48" s="47" t="str">
        <f t="shared" si="17"/>
        <v>Spain</v>
      </c>
      <c r="AE48" s="47" t="str">
        <f t="shared" si="18"/>
        <v>Saudi Arabia</v>
      </c>
      <c r="AF48" s="47" t="str">
        <f t="shared" si="19"/>
        <v>Saudi Arabia|Spain</v>
      </c>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row>
    <row r="49" spans="2:59" ht="15" customHeight="1">
      <c r="B49" s="57"/>
      <c r="C49" s="230"/>
      <c r="D49" s="112">
        <v>38</v>
      </c>
      <c r="E49" s="108" t="str">
        <f>DAY(X49+tzOffset/24)&amp;" "&amp;VLOOKUP("month_"&amp;MONTH(X49+tzOffset/24),langTable,MATCH(langName,_lang!$A$1:$F$1,0),FALSE())</f>
        <v>21 Jun</v>
      </c>
      <c r="F49" s="108" t="str">
        <f>VLOOKUP("dow_"&amp;IF(WEEKDAY(X49+tzOffset/24,2)=0,7,WEEKDAY(X49+tzOffset/24,2)),langTable,MATCH(langName,_lang!$A$1:$F$1,0),FALSE())</f>
        <v>Sun</v>
      </c>
      <c r="G49" s="108" t="str">
        <f t="shared" si="10"/>
        <v>20:00</v>
      </c>
      <c r="H49" s="112" t="s">
        <v>53</v>
      </c>
      <c r="I49" s="109" t="s">
        <v>54</v>
      </c>
      <c r="J49" s="109" t="s">
        <v>60</v>
      </c>
      <c r="K49" s="109" t="s">
        <v>21</v>
      </c>
      <c r="L49" s="109" t="str">
        <f t="shared" si="11"/>
        <v>Inglewood (Los Angeles)</v>
      </c>
      <c r="M49" s="110">
        <f t="shared" si="12"/>
        <v>70240</v>
      </c>
      <c r="N49" s="258"/>
      <c r="O49" s="259"/>
      <c r="P49" s="260"/>
      <c r="Q49" s="260"/>
      <c r="R49" s="154">
        <f t="shared" si="13"/>
        <v>0</v>
      </c>
      <c r="S49" s="155">
        <f t="shared" si="14"/>
        <v>0</v>
      </c>
      <c r="T49" s="119">
        <f t="shared" si="15"/>
        <v>0</v>
      </c>
      <c r="U49" s="140" t="str">
        <f>IF(T49=1,IF(R49&gt;S49,I49&amp;VLOOKUP("win_suffix",langTable,MATCH(langName,_lang!$A$1:$F$1,0),FALSE()),IF(R49&lt;S49,J49&amp;VLOOKUP("win_suffix",langTable,MATCH(langName,_lang!$A$1:$F$1,0),FALSE()),VLOOKUP("draw",langTable,MATCH(langName,_lang!$A$1:$F$1,0),FALSE()))),"")</f>
        <v/>
      </c>
      <c r="V49" s="138" t="str">
        <f>IF(AND(tzCode="UK",langCode="EN"),IF(1,"ITV","BBC"),"")</f>
        <v>ITV</v>
      </c>
      <c r="W49" s="139" t="str">
        <f>VLOOKUP("pens_na",langTable,MATCH(langName,_lang!$A$1:$F$1,0),FALSE())</f>
        <v>N/A</v>
      </c>
      <c r="X49" s="58">
        <v>46194.791666666657</v>
      </c>
      <c r="Y49" s="45"/>
      <c r="Z49" s="45"/>
      <c r="AA49" s="59">
        <f t="shared" ca="1" si="16"/>
        <v>38</v>
      </c>
      <c r="AB49" s="231"/>
      <c r="AC49" s="60" t="str">
        <f>IF(OR(AD49="",AE49="",LEFT(I49,3)="TBC",LEFT(J49,3)="TBC"),"",IFERROR(IF(COUNTIF(_h2h!$H$2:$H$94,AF49)=0,VLOOKUP("h2h_none",langTable,MATCH(langName,_lang!$A$1:$F$1,0),FALSE),IF(COUNTIF(_h2h!$H$2:$H$94,AF49)=1,"Met once · "&amp;INDEX(_h2h!$I$2:$I$94,MATCH(AF49,_h2h!$H$2:$H$94,0)),"Met "&amp;COUNTIF(_h2h!$H$2:$H$94,AF49)&amp;"× · last: "&amp;INDEX(_h2h!$I$2:$I$94,MATCH(AF49,_h2h!$H$2:$H$94,0)))),""))</f>
        <v>First WC meeting</v>
      </c>
      <c r="AD49" s="47" t="str">
        <f t="shared" si="17"/>
        <v>Belgium</v>
      </c>
      <c r="AE49" s="47" t="str">
        <f t="shared" si="18"/>
        <v>Iran</v>
      </c>
      <c r="AF49" s="47" t="str">
        <f t="shared" si="19"/>
        <v>Belgium|Iran</v>
      </c>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row>
    <row r="50" spans="2:59" ht="15" customHeight="1">
      <c r="B50" s="57"/>
      <c r="C50" s="230"/>
      <c r="D50" s="112">
        <v>39</v>
      </c>
      <c r="E50" s="108" t="str">
        <f>DAY(X50+tzOffset/24)&amp;" "&amp;VLOOKUP("month_"&amp;MONTH(X50+tzOffset/24),langTable,MATCH(langName,_lang!$A$1:$F$1,0),FALSE())</f>
        <v>21 Jun</v>
      </c>
      <c r="F50" s="108" t="str">
        <f>VLOOKUP("dow_"&amp;IF(WEEKDAY(X50+tzOffset/24,2)=0,7,WEEKDAY(X50+tzOffset/24,2)),langTable,MATCH(langName,_lang!$A$1:$F$1,0),FALSE())</f>
        <v>Sun</v>
      </c>
      <c r="G50" s="108" t="str">
        <f t="shared" si="10"/>
        <v>23:00</v>
      </c>
      <c r="H50" s="112" t="s">
        <v>49</v>
      </c>
      <c r="I50" s="109" t="s">
        <v>58</v>
      </c>
      <c r="J50" s="109" t="s">
        <v>51</v>
      </c>
      <c r="K50" s="109" t="s">
        <v>59</v>
      </c>
      <c r="L50" s="109" t="str">
        <f t="shared" si="11"/>
        <v>Miami Gardens</v>
      </c>
      <c r="M50" s="110">
        <f t="shared" si="12"/>
        <v>65326</v>
      </c>
      <c r="N50" s="258"/>
      <c r="O50" s="259"/>
      <c r="P50" s="260"/>
      <c r="Q50" s="260"/>
      <c r="R50" s="154">
        <f t="shared" si="13"/>
        <v>0</v>
      </c>
      <c r="S50" s="155">
        <f t="shared" si="14"/>
        <v>0</v>
      </c>
      <c r="T50" s="119">
        <f t="shared" si="15"/>
        <v>0</v>
      </c>
      <c r="U50" s="140" t="str">
        <f>IF(T50=1,IF(R50&gt;S50,I50&amp;VLOOKUP("win_suffix",langTable,MATCH(langName,_lang!$A$1:$F$1,0),FALSE()),IF(R50&lt;S50,J50&amp;VLOOKUP("win_suffix",langTable,MATCH(langName,_lang!$A$1:$F$1,0),FALSE()),VLOOKUP("draw",langTable,MATCH(langName,_lang!$A$1:$F$1,0),FALSE()))),"")</f>
        <v/>
      </c>
      <c r="V50" s="138" t="str">
        <f>IF(AND(tzCode="UK",langCode="EN"),IF(0,"ITV","BBC"),"")</f>
        <v>BBC</v>
      </c>
      <c r="W50" s="139" t="str">
        <f>VLOOKUP("pens_na",langTable,MATCH(langName,_lang!$A$1:$F$1,0),FALSE())</f>
        <v>N/A</v>
      </c>
      <c r="X50" s="58">
        <v>46194.916666666657</v>
      </c>
      <c r="Y50" s="45"/>
      <c r="Z50" s="45"/>
      <c r="AA50" s="59">
        <f t="shared" ca="1" si="16"/>
        <v>39</v>
      </c>
      <c r="AB50" s="231"/>
      <c r="AC50" s="60" t="str">
        <f>IF(OR(AD50="",AE50="",LEFT(I50,3)="TBC",LEFT(J50,3)="TBC"),"",IFERROR(IF(COUNTIF(_h2h!$H$2:$H$94,AF50)=0,VLOOKUP("h2h_none",langTable,MATCH(langName,_lang!$A$1:$F$1,0),FALSE),IF(COUNTIF(_h2h!$H$2:$H$94,AF50)=1,"Met once · "&amp;INDEX(_h2h!$I$2:$I$94,MATCH(AF50,_h2h!$H$2:$H$94,0)),"Met "&amp;COUNTIF(_h2h!$H$2:$H$94,AF50)&amp;"× · last: "&amp;INDEX(_h2h!$I$2:$I$94,MATCH(AF50,_h2h!$H$2:$H$94,0)))),""))</f>
        <v>First WC meeting</v>
      </c>
      <c r="AD50" s="47" t="str">
        <f t="shared" si="17"/>
        <v>Uruguay</v>
      </c>
      <c r="AE50" s="47" t="str">
        <f t="shared" si="18"/>
        <v>Cape Verde</v>
      </c>
      <c r="AF50" s="47" t="str">
        <f t="shared" si="19"/>
        <v>Cape Verde|Uruguay</v>
      </c>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row>
    <row r="51" spans="2:59" ht="15" customHeight="1">
      <c r="B51" s="57"/>
      <c r="C51" s="230"/>
      <c r="D51" s="112">
        <v>40</v>
      </c>
      <c r="E51" s="108" t="str">
        <f>DAY(X51+tzOffset/24)&amp;" "&amp;VLOOKUP("month_"&amp;MONTH(X51+tzOffset/24),langTable,MATCH(langName,_lang!$A$1:$F$1,0),FALSE())</f>
        <v>22 Jun</v>
      </c>
      <c r="F51" s="108" t="str">
        <f>VLOOKUP("dow_"&amp;IF(WEEKDAY(X51+tzOffset/24,2)=0,7,WEEKDAY(X51+tzOffset/24,2)),langTable,MATCH(langName,_lang!$A$1:$F$1,0),FALSE())</f>
        <v>Mon</v>
      </c>
      <c r="G51" s="108" t="str">
        <f t="shared" si="10"/>
        <v>02:00</v>
      </c>
      <c r="H51" s="112" t="s">
        <v>53</v>
      </c>
      <c r="I51" s="109" t="s">
        <v>61</v>
      </c>
      <c r="J51" s="109" t="s">
        <v>55</v>
      </c>
      <c r="K51" s="109" t="s">
        <v>34</v>
      </c>
      <c r="L51" s="109" t="str">
        <f t="shared" si="11"/>
        <v>Vancouver</v>
      </c>
      <c r="M51" s="110">
        <f t="shared" si="12"/>
        <v>54500</v>
      </c>
      <c r="N51" s="258"/>
      <c r="O51" s="259"/>
      <c r="P51" s="260"/>
      <c r="Q51" s="260"/>
      <c r="R51" s="154">
        <f t="shared" si="13"/>
        <v>0</v>
      </c>
      <c r="S51" s="155">
        <f t="shared" si="14"/>
        <v>0</v>
      </c>
      <c r="T51" s="119">
        <f t="shared" si="15"/>
        <v>0</v>
      </c>
      <c r="U51" s="140" t="str">
        <f>IF(T51=1,IF(R51&gt;S51,I51&amp;VLOOKUP("win_suffix",langTable,MATCH(langName,_lang!$A$1:$F$1,0),FALSE()),IF(R51&lt;S51,J51&amp;VLOOKUP("win_suffix",langTable,MATCH(langName,_lang!$A$1:$F$1,0),FALSE()),VLOOKUP("draw",langTable,MATCH(langName,_lang!$A$1:$F$1,0),FALSE()))),"")</f>
        <v/>
      </c>
      <c r="V51" s="138" t="str">
        <f>IF(AND(tzCode="UK",langCode="EN"),IF(1,"ITV","BBC"),"")</f>
        <v>ITV</v>
      </c>
      <c r="W51" s="139" t="str">
        <f>VLOOKUP("pens_na",langTable,MATCH(langName,_lang!$A$1:$F$1,0),FALSE())</f>
        <v>N/A</v>
      </c>
      <c r="X51" s="58">
        <v>46195.041666666657</v>
      </c>
      <c r="Y51" s="45"/>
      <c r="Z51" s="45"/>
      <c r="AA51" s="59">
        <f t="shared" ca="1" si="16"/>
        <v>40</v>
      </c>
      <c r="AB51" s="231"/>
      <c r="AC51" s="60" t="str">
        <f>IF(OR(AD51="",AE51="",LEFT(I51,3)="TBC",LEFT(J51,3)="TBC"),"",IFERROR(IF(COUNTIF(_h2h!$H$2:$H$94,AF51)=0,VLOOKUP("h2h_none",langTable,MATCH(langName,_lang!$A$1:$F$1,0),FALSE),IF(COUNTIF(_h2h!$H$2:$H$94,AF51)=1,"Met once · "&amp;INDEX(_h2h!$I$2:$I$94,MATCH(AF51,_h2h!$H$2:$H$94,0)),"Met "&amp;COUNTIF(_h2h!$H$2:$H$94,AF51)&amp;"× · last: "&amp;INDEX(_h2h!$I$2:$I$94,MATCH(AF51,_h2h!$H$2:$H$94,0)))),""))</f>
        <v>First WC meeting</v>
      </c>
      <c r="AD51" s="47" t="str">
        <f t="shared" si="17"/>
        <v>New Zealand</v>
      </c>
      <c r="AE51" s="47" t="str">
        <f t="shared" si="18"/>
        <v>Egypt</v>
      </c>
      <c r="AF51" s="47" t="str">
        <f t="shared" si="19"/>
        <v>Egypt|New Zealand</v>
      </c>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row>
    <row r="52" spans="2:59" ht="15" customHeight="1">
      <c r="B52" s="57"/>
      <c r="C52" s="230"/>
      <c r="D52" s="112">
        <v>41</v>
      </c>
      <c r="E52" s="108" t="str">
        <f>DAY(X52+tzOffset/24)&amp;" "&amp;VLOOKUP("month_"&amp;MONTH(X52+tzOffset/24),langTable,MATCH(langName,_lang!$A$1:$F$1,0),FALSE())</f>
        <v>22 Jun</v>
      </c>
      <c r="F52" s="108" t="str">
        <f>VLOOKUP("dow_"&amp;IF(WEEKDAY(X52+tzOffset/24,2)=0,7,WEEKDAY(X52+tzOffset/24,2)),langTable,MATCH(langName,_lang!$A$1:$F$1,0),FALSE())</f>
        <v>Mon</v>
      </c>
      <c r="G52" s="108" t="str">
        <f t="shared" si="10"/>
        <v>18:00</v>
      </c>
      <c r="H52" s="112" t="s">
        <v>67</v>
      </c>
      <c r="I52" s="109" t="s">
        <v>68</v>
      </c>
      <c r="J52" s="109" t="s">
        <v>71</v>
      </c>
      <c r="K52" s="109" t="s">
        <v>42</v>
      </c>
      <c r="L52" s="109" t="str">
        <f t="shared" si="11"/>
        <v>Arlington (Dallas)</v>
      </c>
      <c r="M52" s="110">
        <f t="shared" si="12"/>
        <v>92967</v>
      </c>
      <c r="N52" s="258"/>
      <c r="O52" s="259"/>
      <c r="P52" s="260"/>
      <c r="Q52" s="260"/>
      <c r="R52" s="154">
        <f t="shared" si="13"/>
        <v>0</v>
      </c>
      <c r="S52" s="155">
        <f t="shared" si="14"/>
        <v>0</v>
      </c>
      <c r="T52" s="119">
        <f t="shared" si="15"/>
        <v>0</v>
      </c>
      <c r="U52" s="140" t="str">
        <f>IF(T52=1,IF(R52&gt;S52,I52&amp;VLOOKUP("win_suffix",langTable,MATCH(langName,_lang!$A$1:$F$1,0),FALSE()),IF(R52&lt;S52,J52&amp;VLOOKUP("win_suffix",langTable,MATCH(langName,_lang!$A$1:$F$1,0),FALSE()),VLOOKUP("draw",langTable,MATCH(langName,_lang!$A$1:$F$1,0),FALSE()))),"")</f>
        <v/>
      </c>
      <c r="V52" s="138" t="str">
        <f>IF(AND(tzCode="UK",langCode="EN"),IF(0,"ITV","BBC"),"")</f>
        <v>BBC</v>
      </c>
      <c r="W52" s="139" t="str">
        <f>VLOOKUP("pens_na",langTable,MATCH(langName,_lang!$A$1:$F$1,0),FALSE())</f>
        <v>N/A</v>
      </c>
      <c r="X52" s="58">
        <v>46195.708333333343</v>
      </c>
      <c r="Y52" s="45"/>
      <c r="Z52" s="45"/>
      <c r="AA52" s="59">
        <f t="shared" ca="1" si="16"/>
        <v>41</v>
      </c>
      <c r="AB52" s="231"/>
      <c r="AC52" s="60" t="str">
        <f>IF(OR(AD52="",AE52="",LEFT(I52,3)="TBC",LEFT(J52,3)="TBC"),"",IFERROR(IF(COUNTIF(_h2h!$H$2:$H$94,AF52)=0,VLOOKUP("h2h_none",langTable,MATCH(langName,_lang!$A$1:$F$1,0),FALSE),IF(COUNTIF(_h2h!$H$2:$H$94,AF52)=1,"Met once · "&amp;INDEX(_h2h!$I$2:$I$94,MATCH(AF52,_h2h!$H$2:$H$94,0)),"Met "&amp;COUNTIF(_h2h!$H$2:$H$94,AF52)&amp;"× · last: "&amp;INDEX(_h2h!$I$2:$I$94,MATCH(AF52,_h2h!$H$2:$H$94,0)))),""))</f>
        <v>First WC meeting</v>
      </c>
      <c r="AD52" s="47" t="str">
        <f t="shared" si="17"/>
        <v>Argentina</v>
      </c>
      <c r="AE52" s="47" t="str">
        <f t="shared" si="18"/>
        <v>Austria</v>
      </c>
      <c r="AF52" s="47" t="str">
        <f t="shared" si="19"/>
        <v>Argentina|Austria</v>
      </c>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row>
    <row r="53" spans="2:59" ht="15" customHeight="1">
      <c r="B53" s="57"/>
      <c r="C53" s="230"/>
      <c r="D53" s="112">
        <v>42</v>
      </c>
      <c r="E53" s="108" t="str">
        <f>DAY(X53+tzOffset/24)&amp;" "&amp;VLOOKUP("month_"&amp;MONTH(X53+tzOffset/24),langTable,MATCH(langName,_lang!$A$1:$F$1,0),FALSE())</f>
        <v>22 Jun</v>
      </c>
      <c r="F53" s="108" t="str">
        <f>VLOOKUP("dow_"&amp;IF(WEEKDAY(X53+tzOffset/24,2)=0,7,WEEKDAY(X53+tzOffset/24,2)),langTable,MATCH(langName,_lang!$A$1:$F$1,0),FALSE())</f>
        <v>Mon</v>
      </c>
      <c r="G53" s="108" t="str">
        <f t="shared" si="10"/>
        <v>22:00</v>
      </c>
      <c r="H53" s="112" t="s">
        <v>62</v>
      </c>
      <c r="I53" s="109" t="s">
        <v>63</v>
      </c>
      <c r="J53" s="109" t="s">
        <v>65</v>
      </c>
      <c r="K53" s="109" t="s">
        <v>45</v>
      </c>
      <c r="L53" s="109" t="str">
        <f t="shared" si="11"/>
        <v>Philadelphia</v>
      </c>
      <c r="M53" s="110">
        <f t="shared" si="12"/>
        <v>69176</v>
      </c>
      <c r="N53" s="258"/>
      <c r="O53" s="259"/>
      <c r="P53" s="260"/>
      <c r="Q53" s="260"/>
      <c r="R53" s="154">
        <f t="shared" si="13"/>
        <v>0</v>
      </c>
      <c r="S53" s="155">
        <f t="shared" si="14"/>
        <v>0</v>
      </c>
      <c r="T53" s="119">
        <f t="shared" si="15"/>
        <v>0</v>
      </c>
      <c r="U53" s="140" t="str">
        <f>IF(T53=1,IF(R53&gt;S53,I53&amp;VLOOKUP("win_suffix",langTable,MATCH(langName,_lang!$A$1:$F$1,0),FALSE()),IF(R53&lt;S53,J53&amp;VLOOKUP("win_suffix",langTable,MATCH(langName,_lang!$A$1:$F$1,0),FALSE()),VLOOKUP("draw",langTable,MATCH(langName,_lang!$A$1:$F$1,0),FALSE()))),"")</f>
        <v/>
      </c>
      <c r="V53" s="138" t="str">
        <f>IF(AND(tzCode="UK",langCode="EN"),IF(0,"ITV","BBC"),"")</f>
        <v>BBC</v>
      </c>
      <c r="W53" s="139" t="str">
        <f>VLOOKUP("pens_na",langTable,MATCH(langName,_lang!$A$1:$F$1,0),FALSE())</f>
        <v>N/A</v>
      </c>
      <c r="X53" s="58">
        <v>46195.875</v>
      </c>
      <c r="Y53" s="45"/>
      <c r="Z53" s="45"/>
      <c r="AA53" s="59">
        <f t="shared" ca="1" si="16"/>
        <v>42</v>
      </c>
      <c r="AB53" s="231"/>
      <c r="AC53" s="60" t="str">
        <f>IF(OR(AD53="",AE53="",LEFT(I53,3)="TBC",LEFT(J53,3)="TBC"),"",IFERROR(IF(COUNTIF(_h2h!$H$2:$H$94,AF53)=0,VLOOKUP("h2h_none",langTable,MATCH(langName,_lang!$A$1:$F$1,0),FALSE),IF(COUNTIF(_h2h!$H$2:$H$94,AF53)=1,"Met once · "&amp;INDEX(_h2h!$I$2:$I$94,MATCH(AF53,_h2h!$H$2:$H$94,0)),"Met "&amp;COUNTIF(_h2h!$H$2:$H$94,AF53)&amp;"× · last: "&amp;INDEX(_h2h!$I$2:$I$94,MATCH(AF53,_h2h!$H$2:$H$94,0)))),""))</f>
        <v>First WC meeting</v>
      </c>
      <c r="AD53" s="47" t="str">
        <f t="shared" si="17"/>
        <v>France</v>
      </c>
      <c r="AE53" s="47" t="str">
        <f t="shared" si="18"/>
        <v>Iraq</v>
      </c>
      <c r="AF53" s="47" t="str">
        <f t="shared" si="19"/>
        <v>France|Iraq</v>
      </c>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row>
    <row r="54" spans="2:59" ht="15" customHeight="1">
      <c r="B54" s="57"/>
      <c r="C54" s="230"/>
      <c r="D54" s="112">
        <v>43</v>
      </c>
      <c r="E54" s="108" t="str">
        <f>DAY(X54+tzOffset/24)&amp;" "&amp;VLOOKUP("month_"&amp;MONTH(X54+tzOffset/24),langTable,MATCH(langName,_lang!$A$1:$F$1,0),FALSE())</f>
        <v>23 Jun</v>
      </c>
      <c r="F54" s="108" t="str">
        <f>VLOOKUP("dow_"&amp;IF(WEEKDAY(X54+tzOffset/24,2)=0,7,WEEKDAY(X54+tzOffset/24,2)),langTable,MATCH(langName,_lang!$A$1:$F$1,0),FALSE())</f>
        <v>Tue</v>
      </c>
      <c r="G54" s="108" t="str">
        <f t="shared" si="10"/>
        <v>01:00</v>
      </c>
      <c r="H54" s="112" t="s">
        <v>62</v>
      </c>
      <c r="I54" s="109" t="s">
        <v>66</v>
      </c>
      <c r="J54" s="109" t="s">
        <v>64</v>
      </c>
      <c r="K54" s="109" t="s">
        <v>28</v>
      </c>
      <c r="L54" s="109" t="str">
        <f t="shared" si="11"/>
        <v>East Rutherford (NY/NJ)</v>
      </c>
      <c r="M54" s="110">
        <f t="shared" si="12"/>
        <v>82500</v>
      </c>
      <c r="N54" s="258"/>
      <c r="O54" s="259"/>
      <c r="P54" s="260"/>
      <c r="Q54" s="260"/>
      <c r="R54" s="154">
        <f t="shared" si="13"/>
        <v>0</v>
      </c>
      <c r="S54" s="155">
        <f t="shared" si="14"/>
        <v>0</v>
      </c>
      <c r="T54" s="119">
        <f t="shared" si="15"/>
        <v>0</v>
      </c>
      <c r="U54" s="140" t="str">
        <f>IF(T54=1,IF(R54&gt;S54,I54&amp;VLOOKUP("win_suffix",langTable,MATCH(langName,_lang!$A$1:$F$1,0),FALSE()),IF(R54&lt;S54,J54&amp;VLOOKUP("win_suffix",langTable,MATCH(langName,_lang!$A$1:$F$1,0),FALSE()),VLOOKUP("draw",langTable,MATCH(langName,_lang!$A$1:$F$1,0),FALSE()))),"")</f>
        <v/>
      </c>
      <c r="V54" s="138" t="str">
        <f>IF(AND(tzCode="UK",langCode="EN"),IF(1,"ITV","BBC"),"")</f>
        <v>ITV</v>
      </c>
      <c r="W54" s="139" t="str">
        <f>VLOOKUP("pens_na",langTable,MATCH(langName,_lang!$A$1:$F$1,0),FALSE())</f>
        <v>N/A</v>
      </c>
      <c r="X54" s="58">
        <v>46196</v>
      </c>
      <c r="Y54" s="45"/>
      <c r="Z54" s="45"/>
      <c r="AA54" s="59">
        <f t="shared" ca="1" si="16"/>
        <v>43</v>
      </c>
      <c r="AB54" s="231"/>
      <c r="AC54" s="60" t="str">
        <f>IF(OR(AD54="",AE54="",LEFT(I54,3)="TBC",LEFT(J54,3)="TBC"),"",IFERROR(IF(COUNTIF(_h2h!$H$2:$H$94,AF54)=0,VLOOKUP("h2h_none",langTable,MATCH(langName,_lang!$A$1:$F$1,0),FALSE),IF(COUNTIF(_h2h!$H$2:$H$94,AF54)=1,"Met once · "&amp;INDEX(_h2h!$I$2:$I$94,MATCH(AF54,_h2h!$H$2:$H$94,0)),"Met "&amp;COUNTIF(_h2h!$H$2:$H$94,AF54)&amp;"× · last: "&amp;INDEX(_h2h!$I$2:$I$94,MATCH(AF54,_h2h!$H$2:$H$94,0)))),""))</f>
        <v>First WC meeting</v>
      </c>
      <c r="AD54" s="47" t="str">
        <f t="shared" si="17"/>
        <v>Norway</v>
      </c>
      <c r="AE54" s="47" t="str">
        <f t="shared" si="18"/>
        <v>Senegal</v>
      </c>
      <c r="AF54" s="47" t="str">
        <f t="shared" si="19"/>
        <v>Norway|Senegal</v>
      </c>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row>
    <row r="55" spans="2:59" ht="15" customHeight="1">
      <c r="B55" s="57"/>
      <c r="C55" s="230"/>
      <c r="D55" s="112">
        <v>44</v>
      </c>
      <c r="E55" s="108" t="str">
        <f>DAY(X55+tzOffset/24)&amp;" "&amp;VLOOKUP("month_"&amp;MONTH(X55+tzOffset/24),langTable,MATCH(langName,_lang!$A$1:$F$1,0),FALSE())</f>
        <v>23 Jun</v>
      </c>
      <c r="F55" s="108" t="str">
        <f>VLOOKUP("dow_"&amp;IF(WEEKDAY(X55+tzOffset/24,2)=0,7,WEEKDAY(X55+tzOffset/24,2)),langTable,MATCH(langName,_lang!$A$1:$F$1,0),FALSE())</f>
        <v>Tue</v>
      </c>
      <c r="G55" s="108" t="str">
        <f t="shared" si="10"/>
        <v>04:00</v>
      </c>
      <c r="H55" s="112" t="s">
        <v>67</v>
      </c>
      <c r="I55" s="109" t="s">
        <v>72</v>
      </c>
      <c r="J55" s="109" t="s">
        <v>69</v>
      </c>
      <c r="K55" s="109" t="s">
        <v>24</v>
      </c>
      <c r="L55" s="109" t="str">
        <f t="shared" si="11"/>
        <v>Santa Clara (SF Bay Area)</v>
      </c>
      <c r="M55" s="110">
        <f t="shared" si="12"/>
        <v>70909</v>
      </c>
      <c r="N55" s="258"/>
      <c r="O55" s="259"/>
      <c r="P55" s="260"/>
      <c r="Q55" s="260"/>
      <c r="R55" s="154">
        <f t="shared" si="13"/>
        <v>0</v>
      </c>
      <c r="S55" s="155">
        <f t="shared" si="14"/>
        <v>0</v>
      </c>
      <c r="T55" s="119">
        <f t="shared" si="15"/>
        <v>0</v>
      </c>
      <c r="U55" s="140" t="str">
        <f>IF(T55=1,IF(R55&gt;S55,I55&amp;VLOOKUP("win_suffix",langTable,MATCH(langName,_lang!$A$1:$F$1,0),FALSE()),IF(R55&lt;S55,J55&amp;VLOOKUP("win_suffix",langTable,MATCH(langName,_lang!$A$1:$F$1,0),FALSE()),VLOOKUP("draw",langTable,MATCH(langName,_lang!$A$1:$F$1,0),FALSE()))),"")</f>
        <v/>
      </c>
      <c r="V55" s="138" t="str">
        <f>IF(AND(tzCode="UK",langCode="EN"),IF(1,"ITV","BBC"),"")</f>
        <v>ITV</v>
      </c>
      <c r="W55" s="139" t="str">
        <f>VLOOKUP("pens_na",langTable,MATCH(langName,_lang!$A$1:$F$1,0),FALSE())</f>
        <v>N/A</v>
      </c>
      <c r="X55" s="58">
        <v>46196.125</v>
      </c>
      <c r="Y55" s="45"/>
      <c r="Z55" s="45"/>
      <c r="AA55" s="59">
        <f t="shared" ca="1" si="16"/>
        <v>44</v>
      </c>
      <c r="AB55" s="231"/>
      <c r="AC55" s="60" t="str">
        <f>IF(OR(AD55="",AE55="",LEFT(I55,3)="TBC",LEFT(J55,3)="TBC"),"",IFERROR(IF(COUNTIF(_h2h!$H$2:$H$94,AF55)=0,VLOOKUP("h2h_none",langTable,MATCH(langName,_lang!$A$1:$F$1,0),FALSE),IF(COUNTIF(_h2h!$H$2:$H$94,AF55)=1,"Met once · "&amp;INDEX(_h2h!$I$2:$I$94,MATCH(AF55,_h2h!$H$2:$H$94,0)),"Met "&amp;COUNTIF(_h2h!$H$2:$H$94,AF55)&amp;"× · last: "&amp;INDEX(_h2h!$I$2:$I$94,MATCH(AF55,_h2h!$H$2:$H$94,0)))),""))</f>
        <v>First WC meeting</v>
      </c>
      <c r="AD55" s="47" t="str">
        <f t="shared" si="17"/>
        <v>Jordan</v>
      </c>
      <c r="AE55" s="47" t="str">
        <f t="shared" si="18"/>
        <v>Algeria</v>
      </c>
      <c r="AF55" s="47" t="str">
        <f t="shared" si="19"/>
        <v>Algeria|Jordan</v>
      </c>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row>
    <row r="56" spans="2:59" ht="15" customHeight="1">
      <c r="B56" s="57"/>
      <c r="C56" s="230"/>
      <c r="D56" s="112">
        <v>45</v>
      </c>
      <c r="E56" s="108" t="str">
        <f>DAY(X56+tzOffset/24)&amp;" "&amp;VLOOKUP("month_"&amp;MONTH(X56+tzOffset/24),langTable,MATCH(langName,_lang!$A$1:$F$1,0),FALSE())</f>
        <v>23 Jun</v>
      </c>
      <c r="F56" s="108" t="str">
        <f>VLOOKUP("dow_"&amp;IF(WEEKDAY(X56+tzOffset/24,2)=0,7,WEEKDAY(X56+tzOffset/24,2)),langTable,MATCH(langName,_lang!$A$1:$F$1,0),FALSE())</f>
        <v>Tue</v>
      </c>
      <c r="G56" s="108" t="str">
        <f t="shared" si="10"/>
        <v>18:00</v>
      </c>
      <c r="H56" s="112" t="s">
        <v>73</v>
      </c>
      <c r="I56" s="109" t="s">
        <v>74</v>
      </c>
      <c r="J56" s="109" t="s">
        <v>81</v>
      </c>
      <c r="K56" s="109" t="s">
        <v>38</v>
      </c>
      <c r="L56" s="109" t="str">
        <f t="shared" si="11"/>
        <v>Houston</v>
      </c>
      <c r="M56" s="110">
        <f t="shared" si="12"/>
        <v>72220</v>
      </c>
      <c r="N56" s="258"/>
      <c r="O56" s="259"/>
      <c r="P56" s="260"/>
      <c r="Q56" s="260"/>
      <c r="R56" s="154">
        <f t="shared" si="13"/>
        <v>0</v>
      </c>
      <c r="S56" s="155">
        <f t="shared" si="14"/>
        <v>0</v>
      </c>
      <c r="T56" s="119">
        <f t="shared" si="15"/>
        <v>0</v>
      </c>
      <c r="U56" s="140" t="str">
        <f>IF(T56=1,IF(R56&gt;S56,I56&amp;VLOOKUP("win_suffix",langTable,MATCH(langName,_lang!$A$1:$F$1,0),FALSE()),IF(R56&lt;S56,J56&amp;VLOOKUP("win_suffix",langTable,MATCH(langName,_lang!$A$1:$F$1,0),FALSE()),VLOOKUP("draw",langTable,MATCH(langName,_lang!$A$1:$F$1,0),FALSE()))),"")</f>
        <v/>
      </c>
      <c r="V56" s="138" t="str">
        <f>IF(AND(tzCode="UK",langCode="EN"),IF(1,"ITV","BBC"),"")</f>
        <v>ITV</v>
      </c>
      <c r="W56" s="139" t="str">
        <f>VLOOKUP("pens_na",langTable,MATCH(langName,_lang!$A$1:$F$1,0),FALSE())</f>
        <v>N/A</v>
      </c>
      <c r="X56" s="58">
        <v>46196.708333333343</v>
      </c>
      <c r="Y56" s="45"/>
      <c r="Z56" s="45"/>
      <c r="AA56" s="59">
        <f t="shared" ca="1" si="16"/>
        <v>45</v>
      </c>
      <c r="AB56" s="231"/>
      <c r="AC56" s="60" t="str">
        <f>IF(OR(AD56="",AE56="",LEFT(I56,3)="TBC",LEFT(J56,3)="TBC"),"",IFERROR(IF(COUNTIF(_h2h!$H$2:$H$94,AF56)=0,VLOOKUP("h2h_none",langTable,MATCH(langName,_lang!$A$1:$F$1,0),FALSE),IF(COUNTIF(_h2h!$H$2:$H$94,AF56)=1,"Met once · "&amp;INDEX(_h2h!$I$2:$I$94,MATCH(AF56,_h2h!$H$2:$H$94,0)),"Met "&amp;COUNTIF(_h2h!$H$2:$H$94,AF56)&amp;"× · last: "&amp;INDEX(_h2h!$I$2:$I$94,MATCH(AF56,_h2h!$H$2:$H$94,0)))),""))</f>
        <v>First WC meeting</v>
      </c>
      <c r="AD56" s="47" t="str">
        <f t="shared" si="17"/>
        <v>Portugal</v>
      </c>
      <c r="AE56" s="47" t="str">
        <f t="shared" si="18"/>
        <v>Uzbekistan</v>
      </c>
      <c r="AF56" s="47" t="str">
        <f t="shared" si="19"/>
        <v>Portugal|Uzbekistan</v>
      </c>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row>
    <row r="57" spans="2:59" ht="15" customHeight="1">
      <c r="B57" s="57"/>
      <c r="C57" s="230"/>
      <c r="D57" s="112">
        <v>46</v>
      </c>
      <c r="E57" s="108" t="str">
        <f>DAY(X57+tzOffset/24)&amp;" "&amp;VLOOKUP("month_"&amp;MONTH(X57+tzOffset/24),langTable,MATCH(langName,_lang!$A$1:$F$1,0),FALSE())</f>
        <v>23 Jun</v>
      </c>
      <c r="F57" s="108" t="str">
        <f>VLOOKUP("dow_"&amp;IF(WEEKDAY(X57+tzOffset/24,2)=0,7,WEEKDAY(X57+tzOffset/24,2)),langTable,MATCH(langName,_lang!$A$1:$F$1,0),FALSE())</f>
        <v>Tue</v>
      </c>
      <c r="G57" s="108" t="str">
        <f t="shared" si="10"/>
        <v>21:00</v>
      </c>
      <c r="H57" s="112" t="s">
        <v>76</v>
      </c>
      <c r="I57" s="109" t="s">
        <v>77</v>
      </c>
      <c r="J57" s="109" t="s">
        <v>79</v>
      </c>
      <c r="K57" s="109" t="s">
        <v>31</v>
      </c>
      <c r="L57" s="109" t="str">
        <f t="shared" si="11"/>
        <v>Foxborough (Boston)</v>
      </c>
      <c r="M57" s="110">
        <f t="shared" si="12"/>
        <v>64628</v>
      </c>
      <c r="N57" s="258"/>
      <c r="O57" s="259"/>
      <c r="P57" s="260"/>
      <c r="Q57" s="260"/>
      <c r="R57" s="154">
        <f t="shared" si="13"/>
        <v>0</v>
      </c>
      <c r="S57" s="155">
        <f t="shared" si="14"/>
        <v>0</v>
      </c>
      <c r="T57" s="119">
        <f t="shared" si="15"/>
        <v>0</v>
      </c>
      <c r="U57" s="140" t="str">
        <f>IF(T57=1,IF(R57&gt;S57,I57&amp;VLOOKUP("win_suffix",langTable,MATCH(langName,_lang!$A$1:$F$1,0),FALSE()),IF(R57&lt;S57,J57&amp;VLOOKUP("win_suffix",langTable,MATCH(langName,_lang!$A$1:$F$1,0),FALSE()),VLOOKUP("draw",langTable,MATCH(langName,_lang!$A$1:$F$1,0),FALSE()))),"")</f>
        <v/>
      </c>
      <c r="V57" s="138" t="str">
        <f>IF(AND(tzCode="UK",langCode="EN"),IF(0,"ITV","BBC"),"")</f>
        <v>BBC</v>
      </c>
      <c r="W57" s="139" t="str">
        <f>VLOOKUP("pens_na",langTable,MATCH(langName,_lang!$A$1:$F$1,0),FALSE())</f>
        <v>N/A</v>
      </c>
      <c r="X57" s="58">
        <v>46196.833333333343</v>
      </c>
      <c r="Y57" s="45"/>
      <c r="Z57" s="45"/>
      <c r="AA57" s="59">
        <f t="shared" ca="1" si="16"/>
        <v>46</v>
      </c>
      <c r="AB57" s="231"/>
      <c r="AC57" s="60" t="str">
        <f>IF(OR(AD57="",AE57="",LEFT(I57,3)="TBC",LEFT(J57,3)="TBC"),"",IFERROR(IF(COUNTIF(_h2h!$H$2:$H$94,AF57)=0,VLOOKUP("h2h_none",langTable,MATCH(langName,_lang!$A$1:$F$1,0),FALSE),IF(COUNTIF(_h2h!$H$2:$H$94,AF57)=1,"Met once · "&amp;INDEX(_h2h!$I$2:$I$94,MATCH(AF57,_h2h!$H$2:$H$94,0)),"Met "&amp;COUNTIF(_h2h!$H$2:$H$94,AF57)&amp;"× · last: "&amp;INDEX(_h2h!$I$2:$I$94,MATCH(AF57,_h2h!$H$2:$H$94,0)))),""))</f>
        <v>First WC meeting</v>
      </c>
      <c r="AD57" s="47" t="str">
        <f t="shared" si="17"/>
        <v>England</v>
      </c>
      <c r="AE57" s="47" t="str">
        <f t="shared" si="18"/>
        <v>Ghana</v>
      </c>
      <c r="AF57" s="47" t="str">
        <f t="shared" si="19"/>
        <v>England|Ghana</v>
      </c>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row>
    <row r="58" spans="2:59" ht="15" customHeight="1">
      <c r="B58" s="57"/>
      <c r="C58" s="230"/>
      <c r="D58" s="112">
        <v>47</v>
      </c>
      <c r="E58" s="108" t="str">
        <f>DAY(X58+tzOffset/24)&amp;" "&amp;VLOOKUP("month_"&amp;MONTH(X58+tzOffset/24),langTable,MATCH(langName,_lang!$A$1:$F$1,0),FALSE())</f>
        <v>24 Jun</v>
      </c>
      <c r="F58" s="108" t="str">
        <f>VLOOKUP("dow_"&amp;IF(WEEKDAY(X58+tzOffset/24,2)=0,7,WEEKDAY(X58+tzOffset/24,2)),langTable,MATCH(langName,_lang!$A$1:$F$1,0),FALSE())</f>
        <v>Wed</v>
      </c>
      <c r="G58" s="108" t="str">
        <f t="shared" si="10"/>
        <v>00:00</v>
      </c>
      <c r="H58" s="112" t="s">
        <v>76</v>
      </c>
      <c r="I58" s="109" t="s">
        <v>80</v>
      </c>
      <c r="J58" s="109" t="s">
        <v>78</v>
      </c>
      <c r="K58" s="109" t="s">
        <v>17</v>
      </c>
      <c r="L58" s="109" t="str">
        <f t="shared" si="11"/>
        <v>Toronto</v>
      </c>
      <c r="M58" s="110">
        <f t="shared" si="12"/>
        <v>45736</v>
      </c>
      <c r="N58" s="258"/>
      <c r="O58" s="259"/>
      <c r="P58" s="260"/>
      <c r="Q58" s="260"/>
      <c r="R58" s="154">
        <f t="shared" si="13"/>
        <v>0</v>
      </c>
      <c r="S58" s="155">
        <f t="shared" si="14"/>
        <v>0</v>
      </c>
      <c r="T58" s="119">
        <f t="shared" si="15"/>
        <v>0</v>
      </c>
      <c r="U58" s="140" t="str">
        <f>IF(T58=1,IF(R58&gt;S58,I58&amp;VLOOKUP("win_suffix",langTable,MATCH(langName,_lang!$A$1:$F$1,0),FALSE()),IF(R58&lt;S58,J58&amp;VLOOKUP("win_suffix",langTable,MATCH(langName,_lang!$A$1:$F$1,0),FALSE()),VLOOKUP("draw",langTable,MATCH(langName,_lang!$A$1:$F$1,0),FALSE()))),"")</f>
        <v/>
      </c>
      <c r="V58" s="138" t="str">
        <f>IF(AND(tzCode="UK",langCode="EN"),IF(0,"ITV","BBC"),"")</f>
        <v>BBC</v>
      </c>
      <c r="W58" s="139" t="str">
        <f>VLOOKUP("pens_na",langTable,MATCH(langName,_lang!$A$1:$F$1,0),FALSE())</f>
        <v>N/A</v>
      </c>
      <c r="X58" s="58">
        <v>46196.958333333343</v>
      </c>
      <c r="Y58" s="45"/>
      <c r="Z58" s="45"/>
      <c r="AA58" s="59">
        <f t="shared" ca="1" si="16"/>
        <v>47</v>
      </c>
      <c r="AB58" s="231"/>
      <c r="AC58" s="60" t="str">
        <f>IF(OR(AD58="",AE58="",LEFT(I58,3)="TBC",LEFT(J58,3)="TBC"),"",IFERROR(IF(COUNTIF(_h2h!$H$2:$H$94,AF58)=0,VLOOKUP("h2h_none",langTable,MATCH(langName,_lang!$A$1:$F$1,0),FALSE),IF(COUNTIF(_h2h!$H$2:$H$94,AF58)=1,"Met once · "&amp;INDEX(_h2h!$I$2:$I$94,MATCH(AF58,_h2h!$H$2:$H$94,0)),"Met "&amp;COUNTIF(_h2h!$H$2:$H$94,AF58)&amp;"× · last: "&amp;INDEX(_h2h!$I$2:$I$94,MATCH(AF58,_h2h!$H$2:$H$94,0)))),""))</f>
        <v>First WC meeting</v>
      </c>
      <c r="AD58" s="47" t="str">
        <f t="shared" si="17"/>
        <v>Panama</v>
      </c>
      <c r="AE58" s="47" t="str">
        <f t="shared" si="18"/>
        <v>Croatia</v>
      </c>
      <c r="AF58" s="47" t="str">
        <f t="shared" si="19"/>
        <v>Croatia|Panama</v>
      </c>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row>
    <row r="59" spans="2:59" ht="15" customHeight="1">
      <c r="B59" s="57"/>
      <c r="C59" s="230"/>
      <c r="D59" s="112">
        <v>48</v>
      </c>
      <c r="E59" s="108" t="str">
        <f>DAY(X59+tzOffset/24)&amp;" "&amp;VLOOKUP("month_"&amp;MONTH(X59+tzOffset/24),langTable,MATCH(langName,_lang!$A$1:$F$1,0),FALSE())</f>
        <v>24 Jun</v>
      </c>
      <c r="F59" s="108" t="str">
        <f>VLOOKUP("dow_"&amp;IF(WEEKDAY(X59+tzOffset/24,2)=0,7,WEEKDAY(X59+tzOffset/24,2)),langTable,MATCH(langName,_lang!$A$1:$F$1,0),FALSE())</f>
        <v>Wed</v>
      </c>
      <c r="G59" s="108" t="str">
        <f t="shared" si="10"/>
        <v>03:00</v>
      </c>
      <c r="H59" s="112" t="s">
        <v>73</v>
      </c>
      <c r="I59" s="109" t="s">
        <v>82</v>
      </c>
      <c r="J59" s="109" t="s">
        <v>75</v>
      </c>
      <c r="K59" s="109" t="s">
        <v>13</v>
      </c>
      <c r="L59" s="109" t="str">
        <f t="shared" si="11"/>
        <v>Zapopan (Guadalajara)</v>
      </c>
      <c r="M59" s="110">
        <f t="shared" si="12"/>
        <v>48071</v>
      </c>
      <c r="N59" s="258"/>
      <c r="O59" s="259"/>
      <c r="P59" s="260"/>
      <c r="Q59" s="260"/>
      <c r="R59" s="154">
        <f t="shared" si="13"/>
        <v>0</v>
      </c>
      <c r="S59" s="155">
        <f t="shared" si="14"/>
        <v>0</v>
      </c>
      <c r="T59" s="119">
        <f t="shared" si="15"/>
        <v>0</v>
      </c>
      <c r="U59" s="140" t="str">
        <f>IF(T59=1,IF(R59&gt;S59,I59&amp;VLOOKUP("win_suffix",langTable,MATCH(langName,_lang!$A$1:$F$1,0),FALSE()),IF(R59&lt;S59,J59&amp;VLOOKUP("win_suffix",langTable,MATCH(langName,_lang!$A$1:$F$1,0),FALSE()),VLOOKUP("draw",langTable,MATCH(langName,_lang!$A$1:$F$1,0),FALSE()))),"")</f>
        <v/>
      </c>
      <c r="V59" s="138" t="str">
        <f>IF(AND(tzCode="UK",langCode="EN"),IF(1,"ITV","BBC"),"")</f>
        <v>ITV</v>
      </c>
      <c r="W59" s="139" t="str">
        <f>VLOOKUP("pens_na",langTable,MATCH(langName,_lang!$A$1:$F$1,0),FALSE())</f>
        <v>N/A</v>
      </c>
      <c r="X59" s="58">
        <v>46197.083333333343</v>
      </c>
      <c r="Y59" s="45"/>
      <c r="Z59" s="45"/>
      <c r="AA59" s="59">
        <f t="shared" ca="1" si="16"/>
        <v>48</v>
      </c>
      <c r="AB59" s="231"/>
      <c r="AC59" s="60" t="str">
        <f>IF(OR(AD59="",AE59="",LEFT(I59,3)="TBC",LEFT(J59,3)="TBC"),"",IFERROR(IF(COUNTIF(_h2h!$H$2:$H$94,AF59)=0,VLOOKUP("h2h_none",langTable,MATCH(langName,_lang!$A$1:$F$1,0),FALSE),IF(COUNTIF(_h2h!$H$2:$H$94,AF59)=1,"Met once · "&amp;INDEX(_h2h!$I$2:$I$94,MATCH(AF59,_h2h!$H$2:$H$94,0)),"Met "&amp;COUNTIF(_h2h!$H$2:$H$94,AF59)&amp;"× · last: "&amp;INDEX(_h2h!$I$2:$I$94,MATCH(AF59,_h2h!$H$2:$H$94,0)))),""))</f>
        <v>First WC meeting</v>
      </c>
      <c r="AD59" s="47" t="str">
        <f t="shared" si="17"/>
        <v>Colombia</v>
      </c>
      <c r="AE59" s="47" t="str">
        <f t="shared" si="18"/>
        <v>DR Congo</v>
      </c>
      <c r="AF59" s="47" t="str">
        <f t="shared" si="19"/>
        <v>Colombia|DR Congo</v>
      </c>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row>
    <row r="60" spans="2:59" ht="15" customHeight="1">
      <c r="B60" s="57"/>
      <c r="C60" s="230"/>
      <c r="D60" s="112">
        <v>49</v>
      </c>
      <c r="E60" s="108" t="str">
        <f>DAY(X60+tzOffset/24)&amp;" "&amp;VLOOKUP("month_"&amp;MONTH(X60+tzOffset/24),langTable,MATCH(langName,_lang!$A$1:$F$1,0),FALSE())</f>
        <v>24 Jun</v>
      </c>
      <c r="F60" s="108" t="str">
        <f>VLOOKUP("dow_"&amp;IF(WEEKDAY(X60+tzOffset/24,2)=0,7,WEEKDAY(X60+tzOffset/24,2)),langTable,MATCH(langName,_lang!$A$1:$F$1,0),FALSE())</f>
        <v>Wed</v>
      </c>
      <c r="G60" s="108" t="str">
        <f t="shared" si="10"/>
        <v>20:00</v>
      </c>
      <c r="H60" s="112" t="s">
        <v>14</v>
      </c>
      <c r="I60" s="109" t="s">
        <v>23</v>
      </c>
      <c r="J60" s="109" t="s">
        <v>15</v>
      </c>
      <c r="K60" s="109" t="s">
        <v>34</v>
      </c>
      <c r="L60" s="109" t="str">
        <f t="shared" si="11"/>
        <v>Vancouver</v>
      </c>
      <c r="M60" s="110">
        <f t="shared" si="12"/>
        <v>54500</v>
      </c>
      <c r="N60" s="258"/>
      <c r="O60" s="259"/>
      <c r="P60" s="260"/>
      <c r="Q60" s="260"/>
      <c r="R60" s="154">
        <f t="shared" si="13"/>
        <v>0</v>
      </c>
      <c r="S60" s="155">
        <f t="shared" si="14"/>
        <v>0</v>
      </c>
      <c r="T60" s="119">
        <f t="shared" si="15"/>
        <v>0</v>
      </c>
      <c r="U60" s="140" t="str">
        <f>IF(T60=1,IF(R60&gt;S60,I60&amp;VLOOKUP("win_suffix",langTable,MATCH(langName,_lang!$A$1:$F$1,0),FALSE()),IF(R60&lt;S60,J60&amp;VLOOKUP("win_suffix",langTable,MATCH(langName,_lang!$A$1:$F$1,0),FALSE()),VLOOKUP("draw",langTable,MATCH(langName,_lang!$A$1:$F$1,0),FALSE()))),"")</f>
        <v/>
      </c>
      <c r="V60" s="138" t="str">
        <f>IF(AND(tzCode="UK",langCode="EN"),IF(1,"ITV","BBC"),"")</f>
        <v>ITV</v>
      </c>
      <c r="W60" s="139" t="str">
        <f>VLOOKUP("pens_na",langTable,MATCH(langName,_lang!$A$1:$F$1,0),FALSE())</f>
        <v>N/A</v>
      </c>
      <c r="X60" s="58">
        <v>46197.791666666657</v>
      </c>
      <c r="Y60" s="45"/>
      <c r="Z60" s="45"/>
      <c r="AA60" s="59">
        <f t="shared" ca="1" si="16"/>
        <v>49</v>
      </c>
      <c r="AB60" s="231"/>
      <c r="AC60" s="60" t="str">
        <f>IF(OR(AD60="",AE60="",LEFT(I60,3)="TBC",LEFT(J60,3)="TBC"),"",IFERROR(IF(COUNTIF(_h2h!$H$2:$H$94,AF60)=0,VLOOKUP("h2h_none",langTable,MATCH(langName,_lang!$A$1:$F$1,0),FALSE),IF(COUNTIF(_h2h!$H$2:$H$94,AF60)=1,"Met once · "&amp;INDEX(_h2h!$I$2:$I$94,MATCH(AF60,_h2h!$H$2:$H$94,0)),"Met "&amp;COUNTIF(_h2h!$H$2:$H$94,AF60)&amp;"× · last: "&amp;INDEX(_h2h!$I$2:$I$94,MATCH(AF60,_h2h!$H$2:$H$94,0)))),""))</f>
        <v>First WC meeting</v>
      </c>
      <c r="AD60" s="47" t="str">
        <f t="shared" si="17"/>
        <v>Switzerland</v>
      </c>
      <c r="AE60" s="47" t="str">
        <f t="shared" si="18"/>
        <v>Canada</v>
      </c>
      <c r="AF60" s="47" t="str">
        <f t="shared" si="19"/>
        <v>Canada|Switzerland</v>
      </c>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row>
    <row r="61" spans="2:59" ht="15" customHeight="1">
      <c r="B61" s="57"/>
      <c r="C61" s="230"/>
      <c r="D61" s="112">
        <v>50</v>
      </c>
      <c r="E61" s="108" t="str">
        <f>DAY(X61+tzOffset/24)&amp;" "&amp;VLOOKUP("month_"&amp;MONTH(X61+tzOffset/24),langTable,MATCH(langName,_lang!$A$1:$F$1,0),FALSE())</f>
        <v>24 Jun</v>
      </c>
      <c r="F61" s="108" t="str">
        <f>VLOOKUP("dow_"&amp;IF(WEEKDAY(X61+tzOffset/24,2)=0,7,WEEKDAY(X61+tzOffset/24,2)),langTable,MATCH(langName,_lang!$A$1:$F$1,0),FALSE())</f>
        <v>Wed</v>
      </c>
      <c r="G61" s="108" t="str">
        <f t="shared" si="10"/>
        <v>20:00</v>
      </c>
      <c r="H61" s="112" t="s">
        <v>14</v>
      </c>
      <c r="I61" s="109" t="s">
        <v>16</v>
      </c>
      <c r="J61" s="109" t="s">
        <v>22</v>
      </c>
      <c r="K61" s="109" t="s">
        <v>56</v>
      </c>
      <c r="L61" s="109" t="str">
        <f t="shared" si="11"/>
        <v>Seattle</v>
      </c>
      <c r="M61" s="110">
        <f t="shared" si="12"/>
        <v>68740</v>
      </c>
      <c r="N61" s="258"/>
      <c r="O61" s="259"/>
      <c r="P61" s="260"/>
      <c r="Q61" s="260"/>
      <c r="R61" s="154">
        <f t="shared" si="13"/>
        <v>0</v>
      </c>
      <c r="S61" s="155">
        <f t="shared" si="14"/>
        <v>0</v>
      </c>
      <c r="T61" s="119">
        <f t="shared" si="15"/>
        <v>0</v>
      </c>
      <c r="U61" s="140" t="str">
        <f>IF(T61=1,IF(R61&gt;S61,I61&amp;VLOOKUP("win_suffix",langTable,MATCH(langName,_lang!$A$1:$F$1,0),FALSE()),IF(R61&lt;S61,J61&amp;VLOOKUP("win_suffix",langTable,MATCH(langName,_lang!$A$1:$F$1,0),FALSE()),VLOOKUP("draw",langTable,MATCH(langName,_lang!$A$1:$F$1,0),FALSE()))),"")</f>
        <v/>
      </c>
      <c r="V61" s="138" t="str">
        <f>IF(AND(tzCode="UK",langCode="EN"),IF(1,"ITV","BBC"),"")</f>
        <v>ITV</v>
      </c>
      <c r="W61" s="139" t="str">
        <f>VLOOKUP("pens_na",langTable,MATCH(langName,_lang!$A$1:$F$1,0),FALSE())</f>
        <v>N/A</v>
      </c>
      <c r="X61" s="58">
        <v>46197.791666666657</v>
      </c>
      <c r="Y61" s="45"/>
      <c r="Z61" s="45"/>
      <c r="AA61" s="59">
        <f t="shared" ca="1" si="16"/>
        <v>50</v>
      </c>
      <c r="AB61" s="231"/>
      <c r="AC61" s="60" t="str">
        <f>IF(OR(AD61="",AE61="",LEFT(I61,3)="TBC",LEFT(J61,3)="TBC"),"",IFERROR(IF(COUNTIF(_h2h!$H$2:$H$94,AF61)=0,VLOOKUP("h2h_none",langTable,MATCH(langName,_lang!$A$1:$F$1,0),FALSE),IF(COUNTIF(_h2h!$H$2:$H$94,AF61)=1,"Met once · "&amp;INDEX(_h2h!$I$2:$I$94,MATCH(AF61,_h2h!$H$2:$H$94,0)),"Met "&amp;COUNTIF(_h2h!$H$2:$H$94,AF61)&amp;"× · last: "&amp;INDEX(_h2h!$I$2:$I$94,MATCH(AF61,_h2h!$H$2:$H$94,0)))),""))</f>
        <v>First WC meeting</v>
      </c>
      <c r="AD61" s="47" t="str">
        <f t="shared" si="17"/>
        <v>Bosnia &amp; Herzegovina</v>
      </c>
      <c r="AE61" s="47" t="str">
        <f t="shared" si="18"/>
        <v>Qatar</v>
      </c>
      <c r="AF61" s="47" t="str">
        <f t="shared" si="19"/>
        <v>Bosnia &amp; Herzegovina|Qatar</v>
      </c>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row>
    <row r="62" spans="2:59" ht="15" customHeight="1">
      <c r="B62" s="57"/>
      <c r="C62" s="230"/>
      <c r="D62" s="112">
        <v>51</v>
      </c>
      <c r="E62" s="108" t="str">
        <f>DAY(X62+tzOffset/24)&amp;" "&amp;VLOOKUP("month_"&amp;MONTH(X62+tzOffset/24),langTable,MATCH(langName,_lang!$A$1:$F$1,0),FALSE())</f>
        <v>24 Jun</v>
      </c>
      <c r="F62" s="108" t="str">
        <f>VLOOKUP("dow_"&amp;IF(WEEKDAY(X62+tzOffset/24,2)=0,7,WEEKDAY(X62+tzOffset/24,2)),langTable,MATCH(langName,_lang!$A$1:$F$1,0),FALSE())</f>
        <v>Wed</v>
      </c>
      <c r="G62" s="108" t="str">
        <f t="shared" si="10"/>
        <v>23:00</v>
      </c>
      <c r="H62" s="112" t="s">
        <v>25</v>
      </c>
      <c r="I62" s="109" t="s">
        <v>30</v>
      </c>
      <c r="J62" s="109" t="s">
        <v>26</v>
      </c>
      <c r="K62" s="109" t="s">
        <v>59</v>
      </c>
      <c r="L62" s="109" t="str">
        <f t="shared" si="11"/>
        <v>Miami Gardens</v>
      </c>
      <c r="M62" s="110">
        <f t="shared" si="12"/>
        <v>65326</v>
      </c>
      <c r="N62" s="258"/>
      <c r="O62" s="259"/>
      <c r="P62" s="260"/>
      <c r="Q62" s="260"/>
      <c r="R62" s="154">
        <f t="shared" si="13"/>
        <v>0</v>
      </c>
      <c r="S62" s="155">
        <f t="shared" si="14"/>
        <v>0</v>
      </c>
      <c r="T62" s="119">
        <f t="shared" si="15"/>
        <v>0</v>
      </c>
      <c r="U62" s="140" t="str">
        <f>IF(T62=1,IF(R62&gt;S62,I62&amp;VLOOKUP("win_suffix",langTable,MATCH(langName,_lang!$A$1:$F$1,0),FALSE()),IF(R62&lt;S62,J62&amp;VLOOKUP("win_suffix",langTable,MATCH(langName,_lang!$A$1:$F$1,0),FALSE()),VLOOKUP("draw",langTable,MATCH(langName,_lang!$A$1:$F$1,0),FALSE()))),"")</f>
        <v/>
      </c>
      <c r="V62" s="138" t="str">
        <f t="shared" ref="V62:V69" si="20">IF(AND(tzCode="UK",langCode="EN"),IF(0,"ITV","BBC"),"")</f>
        <v>BBC</v>
      </c>
      <c r="W62" s="139" t="str">
        <f>VLOOKUP("pens_na",langTable,MATCH(langName,_lang!$A$1:$F$1,0),FALSE())</f>
        <v>N/A</v>
      </c>
      <c r="X62" s="58">
        <v>46197.916666666657</v>
      </c>
      <c r="Y62" s="45"/>
      <c r="Z62" s="45"/>
      <c r="AA62" s="59">
        <f t="shared" ca="1" si="16"/>
        <v>51</v>
      </c>
      <c r="AB62" s="231"/>
      <c r="AC62" s="60" t="str">
        <f>IF(OR(AD62="",AE62="",LEFT(I62,3)="TBC",LEFT(J62,3)="TBC"),"",IFERROR(IF(COUNTIF(_h2h!$H$2:$H$94,AF62)=0,VLOOKUP("h2h_none",langTable,MATCH(langName,_lang!$A$1:$F$1,0),FALSE),IF(COUNTIF(_h2h!$H$2:$H$94,AF62)=1,"Met once · "&amp;INDEX(_h2h!$I$2:$I$94,MATCH(AF62,_h2h!$H$2:$H$94,0)),"Met "&amp;COUNTIF(_h2h!$H$2:$H$94,AF62)&amp;"× · last: "&amp;INDEX(_h2h!$I$2:$I$94,MATCH(AF62,_h2h!$H$2:$H$94,0)))),""))</f>
        <v>First WC meeting</v>
      </c>
      <c r="AD62" s="47" t="str">
        <f t="shared" si="17"/>
        <v>Scotland</v>
      </c>
      <c r="AE62" s="47" t="str">
        <f t="shared" si="18"/>
        <v>Brazil</v>
      </c>
      <c r="AF62" s="47" t="str">
        <f t="shared" si="19"/>
        <v>Brazil|Scotland</v>
      </c>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row>
    <row r="63" spans="2:59" ht="15" customHeight="1">
      <c r="B63" s="57"/>
      <c r="C63" s="230"/>
      <c r="D63" s="112">
        <v>52</v>
      </c>
      <c r="E63" s="108" t="str">
        <f>DAY(X63+tzOffset/24)&amp;" "&amp;VLOOKUP("month_"&amp;MONTH(X63+tzOffset/24),langTable,MATCH(langName,_lang!$A$1:$F$1,0),FALSE())</f>
        <v>24 Jun</v>
      </c>
      <c r="F63" s="108" t="str">
        <f>VLOOKUP("dow_"&amp;IF(WEEKDAY(X63+tzOffset/24,2)=0,7,WEEKDAY(X63+tzOffset/24,2)),langTable,MATCH(langName,_lang!$A$1:$F$1,0),FALSE())</f>
        <v>Wed</v>
      </c>
      <c r="G63" s="108" t="str">
        <f t="shared" si="10"/>
        <v>23:00</v>
      </c>
      <c r="H63" s="112" t="s">
        <v>25</v>
      </c>
      <c r="I63" s="109" t="s">
        <v>27</v>
      </c>
      <c r="J63" s="109" t="s">
        <v>29</v>
      </c>
      <c r="K63" s="109" t="s">
        <v>52</v>
      </c>
      <c r="L63" s="109" t="str">
        <f t="shared" si="11"/>
        <v>Atlanta</v>
      </c>
      <c r="M63" s="110">
        <f t="shared" si="12"/>
        <v>71000</v>
      </c>
      <c r="N63" s="258"/>
      <c r="O63" s="259"/>
      <c r="P63" s="260"/>
      <c r="Q63" s="260"/>
      <c r="R63" s="154">
        <f t="shared" si="13"/>
        <v>0</v>
      </c>
      <c r="S63" s="155">
        <f t="shared" si="14"/>
        <v>0</v>
      </c>
      <c r="T63" s="119">
        <f t="shared" si="15"/>
        <v>0</v>
      </c>
      <c r="U63" s="140" t="str">
        <f>IF(T63=1,IF(R63&gt;S63,I63&amp;VLOOKUP("win_suffix",langTable,MATCH(langName,_lang!$A$1:$F$1,0),FALSE()),IF(R63&lt;S63,J63&amp;VLOOKUP("win_suffix",langTable,MATCH(langName,_lang!$A$1:$F$1,0),FALSE()),VLOOKUP("draw",langTable,MATCH(langName,_lang!$A$1:$F$1,0),FALSE()))),"")</f>
        <v/>
      </c>
      <c r="V63" s="138" t="str">
        <f t="shared" si="20"/>
        <v>BBC</v>
      </c>
      <c r="W63" s="139" t="str">
        <f>VLOOKUP("pens_na",langTable,MATCH(langName,_lang!$A$1:$F$1,0),FALSE())</f>
        <v>N/A</v>
      </c>
      <c r="X63" s="58">
        <v>46197.916666666657</v>
      </c>
      <c r="Y63" s="45"/>
      <c r="Z63" s="45"/>
      <c r="AA63" s="59">
        <f t="shared" ca="1" si="16"/>
        <v>52</v>
      </c>
      <c r="AB63" s="231"/>
      <c r="AC63" s="60" t="str">
        <f>IF(OR(AD63="",AE63="",LEFT(I63,3)="TBC",LEFT(J63,3)="TBC"),"",IFERROR(IF(COUNTIF(_h2h!$H$2:$H$94,AF63)=0,VLOOKUP("h2h_none",langTable,MATCH(langName,_lang!$A$1:$F$1,0),FALSE),IF(COUNTIF(_h2h!$H$2:$H$94,AF63)=1,"Met once · "&amp;INDEX(_h2h!$I$2:$I$94,MATCH(AF63,_h2h!$H$2:$H$94,0)),"Met "&amp;COUNTIF(_h2h!$H$2:$H$94,AF63)&amp;"× · last: "&amp;INDEX(_h2h!$I$2:$I$94,MATCH(AF63,_h2h!$H$2:$H$94,0)))),""))</f>
        <v>First WC meeting</v>
      </c>
      <c r="AD63" s="47" t="str">
        <f t="shared" si="17"/>
        <v>Morocco</v>
      </c>
      <c r="AE63" s="47" t="str">
        <f t="shared" si="18"/>
        <v>Haiti</v>
      </c>
      <c r="AF63" s="47" t="str">
        <f t="shared" si="19"/>
        <v>Haiti|Morocco</v>
      </c>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row>
    <row r="64" spans="2:59" ht="15" customHeight="1">
      <c r="B64" s="57"/>
      <c r="C64" s="230"/>
      <c r="D64" s="112">
        <v>53</v>
      </c>
      <c r="E64" s="108" t="str">
        <f>DAY(X64+tzOffset/24)&amp;" "&amp;VLOOKUP("month_"&amp;MONTH(X64+tzOffset/24),langTable,MATCH(langName,_lang!$A$1:$F$1,0),FALSE())</f>
        <v>25 Jun</v>
      </c>
      <c r="F64" s="108" t="str">
        <f>VLOOKUP("dow_"&amp;IF(WEEKDAY(X64+tzOffset/24,2)=0,7,WEEKDAY(X64+tzOffset/24,2)),langTable,MATCH(langName,_lang!$A$1:$F$1,0),FALSE())</f>
        <v>Thu</v>
      </c>
      <c r="G64" s="108" t="str">
        <f t="shared" si="10"/>
        <v>02:00</v>
      </c>
      <c r="H64" s="112" t="s">
        <v>7</v>
      </c>
      <c r="I64" s="109" t="s">
        <v>12</v>
      </c>
      <c r="J64" s="109" t="s">
        <v>8</v>
      </c>
      <c r="K64" s="109" t="s">
        <v>10</v>
      </c>
      <c r="L64" s="109" t="str">
        <f t="shared" si="11"/>
        <v>Mexico City</v>
      </c>
      <c r="M64" s="110">
        <f t="shared" si="12"/>
        <v>87000</v>
      </c>
      <c r="N64" s="258"/>
      <c r="O64" s="259"/>
      <c r="P64" s="260"/>
      <c r="Q64" s="260"/>
      <c r="R64" s="154">
        <f t="shared" si="13"/>
        <v>0</v>
      </c>
      <c r="S64" s="155">
        <f t="shared" si="14"/>
        <v>0</v>
      </c>
      <c r="T64" s="119">
        <f t="shared" si="15"/>
        <v>0</v>
      </c>
      <c r="U64" s="140" t="str">
        <f>IF(T64=1,IF(R64&gt;S64,I64&amp;VLOOKUP("win_suffix",langTable,MATCH(langName,_lang!$A$1:$F$1,0),FALSE()),IF(R64&lt;S64,J64&amp;VLOOKUP("win_suffix",langTable,MATCH(langName,_lang!$A$1:$F$1,0),FALSE()),VLOOKUP("draw",langTable,MATCH(langName,_lang!$A$1:$F$1,0),FALSE()))),"")</f>
        <v/>
      </c>
      <c r="V64" s="138" t="str">
        <f t="shared" si="20"/>
        <v>BBC</v>
      </c>
      <c r="W64" s="139" t="str">
        <f>VLOOKUP("pens_na",langTable,MATCH(langName,_lang!$A$1:$F$1,0),FALSE())</f>
        <v>N/A</v>
      </c>
      <c r="X64" s="58">
        <v>46198.041666666657</v>
      </c>
      <c r="Y64" s="45"/>
      <c r="Z64" s="45"/>
      <c r="AA64" s="59">
        <f t="shared" ca="1" si="16"/>
        <v>53</v>
      </c>
      <c r="AB64" s="231"/>
      <c r="AC64" s="60" t="str">
        <f>IF(OR(AD64="",AE64="",LEFT(I64,3)="TBC",LEFT(J64,3)="TBC"),"",IFERROR(IF(COUNTIF(_h2h!$H$2:$H$94,AF64)=0,VLOOKUP("h2h_none",langTable,MATCH(langName,_lang!$A$1:$F$1,0),FALSE),IF(COUNTIF(_h2h!$H$2:$H$94,AF64)=1,"Met once · "&amp;INDEX(_h2h!$I$2:$I$94,MATCH(AF64,_h2h!$H$2:$H$94,0)),"Met "&amp;COUNTIF(_h2h!$H$2:$H$94,AF64)&amp;"× · last: "&amp;INDEX(_h2h!$I$2:$I$94,MATCH(AF64,_h2h!$H$2:$H$94,0)))),""))</f>
        <v>First WC meeting</v>
      </c>
      <c r="AD64" s="47" t="str">
        <f t="shared" si="17"/>
        <v>Czech Republic</v>
      </c>
      <c r="AE64" s="47" t="str">
        <f t="shared" si="18"/>
        <v>Mexico</v>
      </c>
      <c r="AF64" s="47" t="str">
        <f t="shared" si="19"/>
        <v>Czech Republic|Mexico</v>
      </c>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row>
    <row r="65" spans="2:59" ht="15" customHeight="1">
      <c r="B65" s="57"/>
      <c r="C65" s="230"/>
      <c r="D65" s="112">
        <v>54</v>
      </c>
      <c r="E65" s="108" t="str">
        <f>DAY(X65+tzOffset/24)&amp;" "&amp;VLOOKUP("month_"&amp;MONTH(X65+tzOffset/24),langTable,MATCH(langName,_lang!$A$1:$F$1,0),FALSE())</f>
        <v>25 Jun</v>
      </c>
      <c r="F65" s="108" t="str">
        <f>VLOOKUP("dow_"&amp;IF(WEEKDAY(X65+tzOffset/24,2)=0,7,WEEKDAY(X65+tzOffset/24,2)),langTable,MATCH(langName,_lang!$A$1:$F$1,0),FALSE())</f>
        <v>Thu</v>
      </c>
      <c r="G65" s="108" t="str">
        <f t="shared" si="10"/>
        <v>02:00</v>
      </c>
      <c r="H65" s="112" t="s">
        <v>7</v>
      </c>
      <c r="I65" s="109" t="s">
        <v>9</v>
      </c>
      <c r="J65" s="109" t="s">
        <v>11</v>
      </c>
      <c r="K65" s="109" t="s">
        <v>48</v>
      </c>
      <c r="L65" s="109" t="str">
        <f t="shared" si="11"/>
        <v>Monterrey</v>
      </c>
      <c r="M65" s="110">
        <f t="shared" si="12"/>
        <v>53500</v>
      </c>
      <c r="N65" s="258"/>
      <c r="O65" s="259"/>
      <c r="P65" s="260"/>
      <c r="Q65" s="260"/>
      <c r="R65" s="154">
        <f t="shared" si="13"/>
        <v>0</v>
      </c>
      <c r="S65" s="155">
        <f t="shared" si="14"/>
        <v>0</v>
      </c>
      <c r="T65" s="119">
        <f t="shared" si="15"/>
        <v>0</v>
      </c>
      <c r="U65" s="140" t="str">
        <f>IF(T65=1,IF(R65&gt;S65,I65&amp;VLOOKUP("win_suffix",langTable,MATCH(langName,_lang!$A$1:$F$1,0),FALSE()),IF(R65&lt;S65,J65&amp;VLOOKUP("win_suffix",langTable,MATCH(langName,_lang!$A$1:$F$1,0),FALSE()),VLOOKUP("draw",langTable,MATCH(langName,_lang!$A$1:$F$1,0),FALSE()))),"")</f>
        <v/>
      </c>
      <c r="V65" s="138" t="str">
        <f t="shared" si="20"/>
        <v>BBC</v>
      </c>
      <c r="W65" s="139" t="str">
        <f>VLOOKUP("pens_na",langTable,MATCH(langName,_lang!$A$1:$F$1,0),FALSE())</f>
        <v>N/A</v>
      </c>
      <c r="X65" s="58">
        <v>46198.041666666657</v>
      </c>
      <c r="Y65" s="45"/>
      <c r="Z65" s="45"/>
      <c r="AA65" s="59">
        <f t="shared" ca="1" si="16"/>
        <v>54</v>
      </c>
      <c r="AB65" s="231"/>
      <c r="AC65" s="60" t="str">
        <f>IF(OR(AD65="",AE65="",LEFT(I65,3)="TBC",LEFT(J65,3)="TBC"),"",IFERROR(IF(COUNTIF(_h2h!$H$2:$H$94,AF65)=0,VLOOKUP("h2h_none",langTable,MATCH(langName,_lang!$A$1:$F$1,0),FALSE),IF(COUNTIF(_h2h!$H$2:$H$94,AF65)=1,"Met once · "&amp;INDEX(_h2h!$I$2:$I$94,MATCH(AF65,_h2h!$H$2:$H$94,0)),"Met "&amp;COUNTIF(_h2h!$H$2:$H$94,AF65)&amp;"× · last: "&amp;INDEX(_h2h!$I$2:$I$94,MATCH(AF65,_h2h!$H$2:$H$94,0)))),""))</f>
        <v>First WC meeting</v>
      </c>
      <c r="AD65" s="47" t="str">
        <f t="shared" si="17"/>
        <v>South Africa</v>
      </c>
      <c r="AE65" s="47" t="str">
        <f t="shared" si="18"/>
        <v>South Korea</v>
      </c>
      <c r="AF65" s="47" t="str">
        <f t="shared" si="19"/>
        <v>South Africa|South Korea</v>
      </c>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row>
    <row r="66" spans="2:59" ht="15" customHeight="1">
      <c r="B66" s="57"/>
      <c r="C66" s="230"/>
      <c r="D66" s="112">
        <v>55</v>
      </c>
      <c r="E66" s="108" t="str">
        <f>DAY(X66+tzOffset/24)&amp;" "&amp;VLOOKUP("month_"&amp;MONTH(X66+tzOffset/24),langTable,MATCH(langName,_lang!$A$1:$F$1,0),FALSE())</f>
        <v>25 Jun</v>
      </c>
      <c r="F66" s="108" t="str">
        <f>VLOOKUP("dow_"&amp;IF(WEEKDAY(X66+tzOffset/24,2)=0,7,WEEKDAY(X66+tzOffset/24,2)),langTable,MATCH(langName,_lang!$A$1:$F$1,0),FALSE())</f>
        <v>Thu</v>
      </c>
      <c r="G66" s="108" t="str">
        <f t="shared" si="10"/>
        <v>21:00</v>
      </c>
      <c r="H66" s="112" t="s">
        <v>35</v>
      </c>
      <c r="I66" s="109" t="s">
        <v>37</v>
      </c>
      <c r="J66" s="109" t="s">
        <v>43</v>
      </c>
      <c r="K66" s="109" t="s">
        <v>45</v>
      </c>
      <c r="L66" s="109" t="str">
        <f t="shared" si="11"/>
        <v>Philadelphia</v>
      </c>
      <c r="M66" s="110">
        <f t="shared" si="12"/>
        <v>69176</v>
      </c>
      <c r="N66" s="258"/>
      <c r="O66" s="259"/>
      <c r="P66" s="260"/>
      <c r="Q66" s="260"/>
      <c r="R66" s="154">
        <f t="shared" si="13"/>
        <v>0</v>
      </c>
      <c r="S66" s="155">
        <f t="shared" si="14"/>
        <v>0</v>
      </c>
      <c r="T66" s="119">
        <f t="shared" si="15"/>
        <v>0</v>
      </c>
      <c r="U66" s="140" t="str">
        <f>IF(T66=1,IF(R66&gt;S66,I66&amp;VLOOKUP("win_suffix",langTable,MATCH(langName,_lang!$A$1:$F$1,0),FALSE()),IF(R66&lt;S66,J66&amp;VLOOKUP("win_suffix",langTable,MATCH(langName,_lang!$A$1:$F$1,0),FALSE()),VLOOKUP("draw",langTable,MATCH(langName,_lang!$A$1:$F$1,0),FALSE()))),"")</f>
        <v/>
      </c>
      <c r="V66" s="138" t="str">
        <f t="shared" si="20"/>
        <v>BBC</v>
      </c>
      <c r="W66" s="139" t="str">
        <f>VLOOKUP("pens_na",langTable,MATCH(langName,_lang!$A$1:$F$1,0),FALSE())</f>
        <v>N/A</v>
      </c>
      <c r="X66" s="58">
        <v>46198.833333333343</v>
      </c>
      <c r="Y66" s="45"/>
      <c r="Z66" s="45"/>
      <c r="AA66" s="59">
        <f t="shared" ca="1" si="16"/>
        <v>55</v>
      </c>
      <c r="AB66" s="231"/>
      <c r="AC66" s="60" t="str">
        <f>IF(OR(AD66="",AE66="",LEFT(I66,3)="TBC",LEFT(J66,3)="TBC"),"",IFERROR(IF(COUNTIF(_h2h!$H$2:$H$94,AF66)=0,VLOOKUP("h2h_none",langTable,MATCH(langName,_lang!$A$1:$F$1,0),FALSE),IF(COUNTIF(_h2h!$H$2:$H$94,AF66)=1,"Met once · "&amp;INDEX(_h2h!$I$2:$I$94,MATCH(AF66,_h2h!$H$2:$H$94,0)),"Met "&amp;COUNTIF(_h2h!$H$2:$H$94,AF66)&amp;"× · last: "&amp;INDEX(_h2h!$I$2:$I$94,MATCH(AF66,_h2h!$H$2:$H$94,0)))),""))</f>
        <v>First WC meeting</v>
      </c>
      <c r="AD66" s="47" t="str">
        <f t="shared" si="17"/>
        <v>Curaçao</v>
      </c>
      <c r="AE66" s="47" t="str">
        <f t="shared" si="18"/>
        <v>Ivory Coast</v>
      </c>
      <c r="AF66" s="47" t="str">
        <f t="shared" si="19"/>
        <v>Curaçao|Ivory Coast</v>
      </c>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row>
    <row r="67" spans="2:59" ht="15" customHeight="1">
      <c r="B67" s="57"/>
      <c r="C67" s="230"/>
      <c r="D67" s="112">
        <v>56</v>
      </c>
      <c r="E67" s="108" t="str">
        <f>DAY(X67+tzOffset/24)&amp;" "&amp;VLOOKUP("month_"&amp;MONTH(X67+tzOffset/24),langTable,MATCH(langName,_lang!$A$1:$F$1,0),FALSE())</f>
        <v>25 Jun</v>
      </c>
      <c r="F67" s="108" t="str">
        <f>VLOOKUP("dow_"&amp;IF(WEEKDAY(X67+tzOffset/24,2)=0,7,WEEKDAY(X67+tzOffset/24,2)),langTable,MATCH(langName,_lang!$A$1:$F$1,0),FALSE())</f>
        <v>Thu</v>
      </c>
      <c r="G67" s="108" t="str">
        <f t="shared" si="10"/>
        <v>21:00</v>
      </c>
      <c r="H67" s="112" t="s">
        <v>35</v>
      </c>
      <c r="I67" s="109" t="s">
        <v>44</v>
      </c>
      <c r="J67" s="109" t="s">
        <v>36</v>
      </c>
      <c r="K67" s="109" t="s">
        <v>28</v>
      </c>
      <c r="L67" s="109" t="str">
        <f t="shared" si="11"/>
        <v>East Rutherford (NY/NJ)</v>
      </c>
      <c r="M67" s="110">
        <f t="shared" si="12"/>
        <v>82500</v>
      </c>
      <c r="N67" s="258"/>
      <c r="O67" s="259"/>
      <c r="P67" s="260"/>
      <c r="Q67" s="260"/>
      <c r="R67" s="154">
        <f t="shared" si="13"/>
        <v>0</v>
      </c>
      <c r="S67" s="155">
        <f t="shared" si="14"/>
        <v>0</v>
      </c>
      <c r="T67" s="119">
        <f t="shared" si="15"/>
        <v>0</v>
      </c>
      <c r="U67" s="140" t="str">
        <f>IF(T67=1,IF(R67&gt;S67,I67&amp;VLOOKUP("win_suffix",langTable,MATCH(langName,_lang!$A$1:$F$1,0),FALSE()),IF(R67&lt;S67,J67&amp;VLOOKUP("win_suffix",langTable,MATCH(langName,_lang!$A$1:$F$1,0),FALSE()),VLOOKUP("draw",langTable,MATCH(langName,_lang!$A$1:$F$1,0),FALSE()))),"")</f>
        <v/>
      </c>
      <c r="V67" s="138" t="str">
        <f t="shared" si="20"/>
        <v>BBC</v>
      </c>
      <c r="W67" s="139" t="str">
        <f>VLOOKUP("pens_na",langTable,MATCH(langName,_lang!$A$1:$F$1,0),FALSE())</f>
        <v>N/A</v>
      </c>
      <c r="X67" s="58">
        <v>46198.833333333343</v>
      </c>
      <c r="Y67" s="45"/>
      <c r="Z67" s="45"/>
      <c r="AA67" s="59">
        <f t="shared" ca="1" si="16"/>
        <v>56</v>
      </c>
      <c r="AB67" s="231"/>
      <c r="AC67" s="60" t="str">
        <f>IF(OR(AD67="",AE67="",LEFT(I67,3)="TBC",LEFT(J67,3)="TBC"),"",IFERROR(IF(COUNTIF(_h2h!$H$2:$H$94,AF67)=0,VLOOKUP("h2h_none",langTable,MATCH(langName,_lang!$A$1:$F$1,0),FALSE),IF(COUNTIF(_h2h!$H$2:$H$94,AF67)=1,"Met once · "&amp;INDEX(_h2h!$I$2:$I$94,MATCH(AF67,_h2h!$H$2:$H$94,0)),"Met "&amp;COUNTIF(_h2h!$H$2:$H$94,AF67)&amp;"× · last: "&amp;INDEX(_h2h!$I$2:$I$94,MATCH(AF67,_h2h!$H$2:$H$94,0)))),""))</f>
        <v>First WC meeting</v>
      </c>
      <c r="AD67" s="47" t="str">
        <f t="shared" si="17"/>
        <v>Ecuador</v>
      </c>
      <c r="AE67" s="47" t="str">
        <f t="shared" si="18"/>
        <v>Germany</v>
      </c>
      <c r="AF67" s="47" t="str">
        <f t="shared" si="19"/>
        <v>Ecuador|Germany</v>
      </c>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row>
    <row r="68" spans="2:59" ht="15" customHeight="1">
      <c r="B68" s="57"/>
      <c r="C68" s="230"/>
      <c r="D68" s="112">
        <v>57</v>
      </c>
      <c r="E68" s="108" t="str">
        <f>DAY(X68+tzOffset/24)&amp;" "&amp;VLOOKUP("month_"&amp;MONTH(X68+tzOffset/24),langTable,MATCH(langName,_lang!$A$1:$F$1,0),FALSE())</f>
        <v>26 Jun</v>
      </c>
      <c r="F68" s="108" t="str">
        <f>VLOOKUP("dow_"&amp;IF(WEEKDAY(X68+tzOffset/24,2)=0,7,WEEKDAY(X68+tzOffset/24,2)),langTable,MATCH(langName,_lang!$A$1:$F$1,0),FALSE())</f>
        <v>Fri</v>
      </c>
      <c r="G68" s="108" t="str">
        <f t="shared" si="10"/>
        <v>00:00</v>
      </c>
      <c r="H68" s="112" t="s">
        <v>39</v>
      </c>
      <c r="I68" s="109" t="s">
        <v>41</v>
      </c>
      <c r="J68" s="109" t="s">
        <v>46</v>
      </c>
      <c r="K68" s="109" t="s">
        <v>42</v>
      </c>
      <c r="L68" s="109" t="str">
        <f t="shared" si="11"/>
        <v>Arlington (Dallas)</v>
      </c>
      <c r="M68" s="110">
        <f t="shared" si="12"/>
        <v>92967</v>
      </c>
      <c r="N68" s="258"/>
      <c r="O68" s="259"/>
      <c r="P68" s="260"/>
      <c r="Q68" s="260"/>
      <c r="R68" s="154">
        <f t="shared" si="13"/>
        <v>0</v>
      </c>
      <c r="S68" s="155">
        <f t="shared" si="14"/>
        <v>0</v>
      </c>
      <c r="T68" s="119">
        <f t="shared" si="15"/>
        <v>0</v>
      </c>
      <c r="U68" s="140" t="str">
        <f>IF(T68=1,IF(R68&gt;S68,I68&amp;VLOOKUP("win_suffix",langTable,MATCH(langName,_lang!$A$1:$F$1,0),FALSE()),IF(R68&lt;S68,J68&amp;VLOOKUP("win_suffix",langTable,MATCH(langName,_lang!$A$1:$F$1,0),FALSE()),VLOOKUP("draw",langTable,MATCH(langName,_lang!$A$1:$F$1,0),FALSE()))),"")</f>
        <v/>
      </c>
      <c r="V68" s="138" t="str">
        <f t="shared" si="20"/>
        <v>BBC</v>
      </c>
      <c r="W68" s="139" t="str">
        <f>VLOOKUP("pens_na",langTable,MATCH(langName,_lang!$A$1:$F$1,0),FALSE())</f>
        <v>N/A</v>
      </c>
      <c r="X68" s="58">
        <v>46198.958333333343</v>
      </c>
      <c r="Y68" s="45"/>
      <c r="Z68" s="45"/>
      <c r="AA68" s="59">
        <f t="shared" ca="1" si="16"/>
        <v>57</v>
      </c>
      <c r="AB68" s="231"/>
      <c r="AC68" s="60" t="str">
        <f>IF(OR(AD68="",AE68="",LEFT(I68,3)="TBC",LEFT(J68,3)="TBC"),"",IFERROR(IF(COUNTIF(_h2h!$H$2:$H$94,AF68)=0,VLOOKUP("h2h_none",langTable,MATCH(langName,_lang!$A$1:$F$1,0),FALSE),IF(COUNTIF(_h2h!$H$2:$H$94,AF68)=1,"Met once · "&amp;INDEX(_h2h!$I$2:$I$94,MATCH(AF68,_h2h!$H$2:$H$94,0)),"Met "&amp;COUNTIF(_h2h!$H$2:$H$94,AF68)&amp;"× · last: "&amp;INDEX(_h2h!$I$2:$I$94,MATCH(AF68,_h2h!$H$2:$H$94,0)))),""))</f>
        <v>First WC meeting</v>
      </c>
      <c r="AD68" s="47" t="str">
        <f t="shared" si="17"/>
        <v>Japan</v>
      </c>
      <c r="AE68" s="47" t="str">
        <f t="shared" si="18"/>
        <v>Sweden</v>
      </c>
      <c r="AF68" s="47" t="str">
        <f t="shared" si="19"/>
        <v>Japan|Sweden</v>
      </c>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row>
    <row r="69" spans="2:59" ht="15" customHeight="1">
      <c r="B69" s="57"/>
      <c r="C69" s="230"/>
      <c r="D69" s="112">
        <v>58</v>
      </c>
      <c r="E69" s="108" t="str">
        <f>DAY(X69+tzOffset/24)&amp;" "&amp;VLOOKUP("month_"&amp;MONTH(X69+tzOffset/24),langTable,MATCH(langName,_lang!$A$1:$F$1,0),FALSE())</f>
        <v>26 Jun</v>
      </c>
      <c r="F69" s="108" t="str">
        <f>VLOOKUP("dow_"&amp;IF(WEEKDAY(X69+tzOffset/24,2)=0,7,WEEKDAY(X69+tzOffset/24,2)),langTable,MATCH(langName,_lang!$A$1:$F$1,0),FALSE())</f>
        <v>Fri</v>
      </c>
      <c r="G69" s="108" t="str">
        <f t="shared" si="10"/>
        <v>00:00</v>
      </c>
      <c r="H69" s="112" t="s">
        <v>39</v>
      </c>
      <c r="I69" s="109" t="s">
        <v>47</v>
      </c>
      <c r="J69" s="109" t="s">
        <v>40</v>
      </c>
      <c r="K69" s="109" t="s">
        <v>70</v>
      </c>
      <c r="L69" s="109" t="str">
        <f t="shared" si="11"/>
        <v>Kansas City</v>
      </c>
      <c r="M69" s="110">
        <f t="shared" si="12"/>
        <v>76416</v>
      </c>
      <c r="N69" s="258"/>
      <c r="O69" s="259"/>
      <c r="P69" s="260"/>
      <c r="Q69" s="260"/>
      <c r="R69" s="154">
        <f t="shared" si="13"/>
        <v>0</v>
      </c>
      <c r="S69" s="155">
        <f t="shared" si="14"/>
        <v>0</v>
      </c>
      <c r="T69" s="119">
        <f t="shared" si="15"/>
        <v>0</v>
      </c>
      <c r="U69" s="140" t="str">
        <f>IF(T69=1,IF(R69&gt;S69,I69&amp;VLOOKUP("win_suffix",langTable,MATCH(langName,_lang!$A$1:$F$1,0),FALSE()),IF(R69&lt;S69,J69&amp;VLOOKUP("win_suffix",langTable,MATCH(langName,_lang!$A$1:$F$1,0),FALSE()),VLOOKUP("draw",langTable,MATCH(langName,_lang!$A$1:$F$1,0),FALSE()))),"")</f>
        <v/>
      </c>
      <c r="V69" s="138" t="str">
        <f t="shared" si="20"/>
        <v>BBC</v>
      </c>
      <c r="W69" s="139" t="str">
        <f>VLOOKUP("pens_na",langTable,MATCH(langName,_lang!$A$1:$F$1,0),FALSE())</f>
        <v>N/A</v>
      </c>
      <c r="X69" s="58">
        <v>46198.958333333343</v>
      </c>
      <c r="Y69" s="45"/>
      <c r="Z69" s="45"/>
      <c r="AA69" s="59">
        <f t="shared" ca="1" si="16"/>
        <v>58</v>
      </c>
      <c r="AB69" s="231"/>
      <c r="AC69" s="60" t="str">
        <f>IF(OR(AD69="",AE69="",LEFT(I69,3)="TBC",LEFT(J69,3)="TBC"),"",IFERROR(IF(COUNTIF(_h2h!$H$2:$H$94,AF69)=0,VLOOKUP("h2h_none",langTable,MATCH(langName,_lang!$A$1:$F$1,0),FALSE),IF(COUNTIF(_h2h!$H$2:$H$94,AF69)=1,"Met once · "&amp;INDEX(_h2h!$I$2:$I$94,MATCH(AF69,_h2h!$H$2:$H$94,0)),"Met "&amp;COUNTIF(_h2h!$H$2:$H$94,AF69)&amp;"× · last: "&amp;INDEX(_h2h!$I$2:$I$94,MATCH(AF69,_h2h!$H$2:$H$94,0)))),""))</f>
        <v>First WC meeting</v>
      </c>
      <c r="AD69" s="47" t="str">
        <f t="shared" si="17"/>
        <v>Tunisia</v>
      </c>
      <c r="AE69" s="47" t="str">
        <f t="shared" si="18"/>
        <v>Netherlands</v>
      </c>
      <c r="AF69" s="47" t="str">
        <f t="shared" si="19"/>
        <v>Netherlands|Tunisia</v>
      </c>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row>
    <row r="70" spans="2:59" ht="15" customHeight="1">
      <c r="B70" s="57"/>
      <c r="C70" s="230"/>
      <c r="D70" s="112">
        <v>59</v>
      </c>
      <c r="E70" s="108" t="str">
        <f>DAY(X70+tzOffset/24)&amp;" "&amp;VLOOKUP("month_"&amp;MONTH(X70+tzOffset/24),langTable,MATCH(langName,_lang!$A$1:$F$1,0),FALSE())</f>
        <v>26 Jun</v>
      </c>
      <c r="F70" s="108" t="str">
        <f>VLOOKUP("dow_"&amp;IF(WEEKDAY(X70+tzOffset/24,2)=0,7,WEEKDAY(X70+tzOffset/24,2)),langTable,MATCH(langName,_lang!$A$1:$F$1,0),FALSE())</f>
        <v>Fri</v>
      </c>
      <c r="G70" s="108" t="str">
        <f t="shared" si="10"/>
        <v>03:00</v>
      </c>
      <c r="H70" s="112" t="s">
        <v>18</v>
      </c>
      <c r="I70" s="109" t="s">
        <v>33</v>
      </c>
      <c r="J70" s="109" t="s">
        <v>19</v>
      </c>
      <c r="K70" s="109" t="s">
        <v>21</v>
      </c>
      <c r="L70" s="109" t="str">
        <f t="shared" si="11"/>
        <v>Inglewood (Los Angeles)</v>
      </c>
      <c r="M70" s="110">
        <f t="shared" si="12"/>
        <v>70240</v>
      </c>
      <c r="N70" s="258"/>
      <c r="O70" s="259"/>
      <c r="P70" s="260"/>
      <c r="Q70" s="260"/>
      <c r="R70" s="154">
        <f t="shared" si="13"/>
        <v>0</v>
      </c>
      <c r="S70" s="155">
        <f t="shared" si="14"/>
        <v>0</v>
      </c>
      <c r="T70" s="119">
        <f t="shared" si="15"/>
        <v>0</v>
      </c>
      <c r="U70" s="140" t="str">
        <f>IF(T70=1,IF(R70&gt;S70,I70&amp;VLOOKUP("win_suffix",langTable,MATCH(langName,_lang!$A$1:$F$1,0),FALSE()),IF(R70&lt;S70,J70&amp;VLOOKUP("win_suffix",langTable,MATCH(langName,_lang!$A$1:$F$1,0),FALSE()),VLOOKUP("draw",langTable,MATCH(langName,_lang!$A$1:$F$1,0),FALSE()))),"")</f>
        <v/>
      </c>
      <c r="V70" s="138" t="str">
        <f t="shared" ref="V70:V75" si="21">IF(AND(tzCode="UK",langCode="EN"),IF(1,"ITV","BBC"),"")</f>
        <v>ITV</v>
      </c>
      <c r="W70" s="139" t="str">
        <f>VLOOKUP("pens_na",langTable,MATCH(langName,_lang!$A$1:$F$1,0),FALSE())</f>
        <v>N/A</v>
      </c>
      <c r="X70" s="58">
        <v>46199.083333333343</v>
      </c>
      <c r="Y70" s="45"/>
      <c r="Z70" s="45"/>
      <c r="AA70" s="59">
        <f t="shared" ca="1" si="16"/>
        <v>59</v>
      </c>
      <c r="AB70" s="231"/>
      <c r="AC70" s="60" t="str">
        <f>IF(OR(AD70="",AE70="",LEFT(I70,3)="TBC",LEFT(J70,3)="TBC"),"",IFERROR(IF(COUNTIF(_h2h!$H$2:$H$94,AF70)=0,VLOOKUP("h2h_none",langTable,MATCH(langName,_lang!$A$1:$F$1,0),FALSE),IF(COUNTIF(_h2h!$H$2:$H$94,AF70)=1,"Met once · "&amp;INDEX(_h2h!$I$2:$I$94,MATCH(AF70,_h2h!$H$2:$H$94,0)),"Met "&amp;COUNTIF(_h2h!$H$2:$H$94,AF70)&amp;"× · last: "&amp;INDEX(_h2h!$I$2:$I$94,MATCH(AF70,_h2h!$H$2:$H$94,0)))),""))</f>
        <v>First WC meeting</v>
      </c>
      <c r="AD70" s="47" t="str">
        <f t="shared" si="17"/>
        <v>Turkey</v>
      </c>
      <c r="AE70" s="47" t="str">
        <f t="shared" si="18"/>
        <v>USA</v>
      </c>
      <c r="AF70" s="47" t="str">
        <f t="shared" si="19"/>
        <v>Turkey|USA</v>
      </c>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row>
    <row r="71" spans="2:59" ht="15" customHeight="1">
      <c r="B71" s="57"/>
      <c r="C71" s="230"/>
      <c r="D71" s="112">
        <v>60</v>
      </c>
      <c r="E71" s="108" t="str">
        <f>DAY(X71+tzOffset/24)&amp;" "&amp;VLOOKUP("month_"&amp;MONTH(X71+tzOffset/24),langTable,MATCH(langName,_lang!$A$1:$F$1,0),FALSE())</f>
        <v>26 Jun</v>
      </c>
      <c r="F71" s="108" t="str">
        <f>VLOOKUP("dow_"&amp;IF(WEEKDAY(X71+tzOffset/24,2)=0,7,WEEKDAY(X71+tzOffset/24,2)),langTable,MATCH(langName,_lang!$A$1:$F$1,0),FALSE())</f>
        <v>Fri</v>
      </c>
      <c r="G71" s="108" t="str">
        <f t="shared" si="10"/>
        <v>03:00</v>
      </c>
      <c r="H71" s="112" t="s">
        <v>18</v>
      </c>
      <c r="I71" s="109" t="s">
        <v>20</v>
      </c>
      <c r="J71" s="109" t="s">
        <v>32</v>
      </c>
      <c r="K71" s="109" t="s">
        <v>24</v>
      </c>
      <c r="L71" s="109" t="str">
        <f t="shared" si="11"/>
        <v>Santa Clara (SF Bay Area)</v>
      </c>
      <c r="M71" s="110">
        <f t="shared" si="12"/>
        <v>70909</v>
      </c>
      <c r="N71" s="258"/>
      <c r="O71" s="259"/>
      <c r="P71" s="260"/>
      <c r="Q71" s="260"/>
      <c r="R71" s="154">
        <f t="shared" si="13"/>
        <v>0</v>
      </c>
      <c r="S71" s="155">
        <f t="shared" si="14"/>
        <v>0</v>
      </c>
      <c r="T71" s="119">
        <f t="shared" si="15"/>
        <v>0</v>
      </c>
      <c r="U71" s="140" t="str">
        <f>IF(T71=1,IF(R71&gt;S71,I71&amp;VLOOKUP("win_suffix",langTable,MATCH(langName,_lang!$A$1:$F$1,0),FALSE()),IF(R71&lt;S71,J71&amp;VLOOKUP("win_suffix",langTable,MATCH(langName,_lang!$A$1:$F$1,0),FALSE()),VLOOKUP("draw",langTable,MATCH(langName,_lang!$A$1:$F$1,0),FALSE()))),"")</f>
        <v/>
      </c>
      <c r="V71" s="138" t="str">
        <f t="shared" si="21"/>
        <v>ITV</v>
      </c>
      <c r="W71" s="139" t="str">
        <f>VLOOKUP("pens_na",langTable,MATCH(langName,_lang!$A$1:$F$1,0),FALSE())</f>
        <v>N/A</v>
      </c>
      <c r="X71" s="58">
        <v>46199.083333333343</v>
      </c>
      <c r="Y71" s="45"/>
      <c r="Z71" s="45"/>
      <c r="AA71" s="59">
        <f t="shared" ca="1" si="16"/>
        <v>60</v>
      </c>
      <c r="AB71" s="231"/>
      <c r="AC71" s="60" t="str">
        <f>IF(OR(AD71="",AE71="",LEFT(I71,3)="TBC",LEFT(J71,3)="TBC"),"",IFERROR(IF(COUNTIF(_h2h!$H$2:$H$94,AF71)=0,VLOOKUP("h2h_none",langTable,MATCH(langName,_lang!$A$1:$F$1,0),FALSE),IF(COUNTIF(_h2h!$H$2:$H$94,AF71)=1,"Met once · "&amp;INDEX(_h2h!$I$2:$I$94,MATCH(AF71,_h2h!$H$2:$H$94,0)),"Met "&amp;COUNTIF(_h2h!$H$2:$H$94,AF71)&amp;"× · last: "&amp;INDEX(_h2h!$I$2:$I$94,MATCH(AF71,_h2h!$H$2:$H$94,0)))),""))</f>
        <v>First WC meeting</v>
      </c>
      <c r="AD71" s="47" t="str">
        <f t="shared" si="17"/>
        <v>Paraguay</v>
      </c>
      <c r="AE71" s="47" t="str">
        <f t="shared" si="18"/>
        <v>Australia</v>
      </c>
      <c r="AF71" s="47" t="str">
        <f t="shared" si="19"/>
        <v>Australia|Paraguay</v>
      </c>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row>
    <row r="72" spans="2:59" ht="15" customHeight="1">
      <c r="B72" s="57"/>
      <c r="C72" s="230"/>
      <c r="D72" s="112">
        <v>61</v>
      </c>
      <c r="E72" s="108" t="str">
        <f>DAY(X72+tzOffset/24)&amp;" "&amp;VLOOKUP("month_"&amp;MONTH(X72+tzOffset/24),langTable,MATCH(langName,_lang!$A$1:$F$1,0),FALSE())</f>
        <v>26 Jun</v>
      </c>
      <c r="F72" s="108" t="str">
        <f>VLOOKUP("dow_"&amp;IF(WEEKDAY(X72+tzOffset/24,2)=0,7,WEEKDAY(X72+tzOffset/24,2)),langTable,MATCH(langName,_lang!$A$1:$F$1,0),FALSE())</f>
        <v>Fri</v>
      </c>
      <c r="G72" s="108" t="str">
        <f t="shared" si="10"/>
        <v>20:00</v>
      </c>
      <c r="H72" s="112" t="s">
        <v>62</v>
      </c>
      <c r="I72" s="109" t="s">
        <v>66</v>
      </c>
      <c r="J72" s="109" t="s">
        <v>63</v>
      </c>
      <c r="K72" s="109" t="s">
        <v>31</v>
      </c>
      <c r="L72" s="109" t="str">
        <f t="shared" si="11"/>
        <v>Foxborough (Boston)</v>
      </c>
      <c r="M72" s="110">
        <f t="shared" si="12"/>
        <v>64628</v>
      </c>
      <c r="N72" s="258"/>
      <c r="O72" s="259"/>
      <c r="P72" s="260"/>
      <c r="Q72" s="260"/>
      <c r="R72" s="154">
        <f t="shared" si="13"/>
        <v>0</v>
      </c>
      <c r="S72" s="155">
        <f t="shared" si="14"/>
        <v>0</v>
      </c>
      <c r="T72" s="119">
        <f t="shared" si="15"/>
        <v>0</v>
      </c>
      <c r="U72" s="140" t="str">
        <f>IF(T72=1,IF(R72&gt;S72,I72&amp;VLOOKUP("win_suffix",langTable,MATCH(langName,_lang!$A$1:$F$1,0),FALSE()),IF(R72&lt;S72,J72&amp;VLOOKUP("win_suffix",langTable,MATCH(langName,_lang!$A$1:$F$1,0),FALSE()),VLOOKUP("draw",langTable,MATCH(langName,_lang!$A$1:$F$1,0),FALSE()))),"")</f>
        <v/>
      </c>
      <c r="V72" s="138" t="str">
        <f t="shared" si="21"/>
        <v>ITV</v>
      </c>
      <c r="W72" s="139" t="str">
        <f>VLOOKUP("pens_na",langTable,MATCH(langName,_lang!$A$1:$F$1,0),FALSE())</f>
        <v>N/A</v>
      </c>
      <c r="X72" s="58">
        <v>46199.791666666657</v>
      </c>
      <c r="Y72" s="45"/>
      <c r="Z72" s="45"/>
      <c r="AA72" s="59">
        <f t="shared" ca="1" si="16"/>
        <v>61</v>
      </c>
      <c r="AB72" s="231"/>
      <c r="AC72" s="60" t="str">
        <f>IF(OR(AD72="",AE72="",LEFT(I72,3)="TBC",LEFT(J72,3)="TBC"),"",IFERROR(IF(COUNTIF(_h2h!$H$2:$H$94,AF72)=0,VLOOKUP("h2h_none",langTable,MATCH(langName,_lang!$A$1:$F$1,0),FALSE),IF(COUNTIF(_h2h!$H$2:$H$94,AF72)=1,"Met once · "&amp;INDEX(_h2h!$I$2:$I$94,MATCH(AF72,_h2h!$H$2:$H$94,0)),"Met "&amp;COUNTIF(_h2h!$H$2:$H$94,AF72)&amp;"× · last: "&amp;INDEX(_h2h!$I$2:$I$94,MATCH(AF72,_h2h!$H$2:$H$94,0)))),""))</f>
        <v>First WC meeting</v>
      </c>
      <c r="AD72" s="47" t="str">
        <f t="shared" si="17"/>
        <v>Norway</v>
      </c>
      <c r="AE72" s="47" t="str">
        <f t="shared" si="18"/>
        <v>France</v>
      </c>
      <c r="AF72" s="47" t="str">
        <f t="shared" si="19"/>
        <v>France|Norway</v>
      </c>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row>
    <row r="73" spans="2:59" ht="15" customHeight="1">
      <c r="B73" s="57"/>
      <c r="C73" s="230"/>
      <c r="D73" s="112">
        <v>62</v>
      </c>
      <c r="E73" s="108" t="str">
        <f>DAY(X73+tzOffset/24)&amp;" "&amp;VLOOKUP("month_"&amp;MONTH(X73+tzOffset/24),langTable,MATCH(langName,_lang!$A$1:$F$1,0),FALSE())</f>
        <v>26 Jun</v>
      </c>
      <c r="F73" s="108" t="str">
        <f>VLOOKUP("dow_"&amp;IF(WEEKDAY(X73+tzOffset/24,2)=0,7,WEEKDAY(X73+tzOffset/24,2)),langTable,MATCH(langName,_lang!$A$1:$F$1,0),FALSE())</f>
        <v>Fri</v>
      </c>
      <c r="G73" s="108" t="str">
        <f t="shared" si="10"/>
        <v>20:00</v>
      </c>
      <c r="H73" s="112" t="s">
        <v>62</v>
      </c>
      <c r="I73" s="109" t="s">
        <v>64</v>
      </c>
      <c r="J73" s="109" t="s">
        <v>65</v>
      </c>
      <c r="K73" s="109" t="s">
        <v>17</v>
      </c>
      <c r="L73" s="109" t="str">
        <f t="shared" si="11"/>
        <v>Toronto</v>
      </c>
      <c r="M73" s="110">
        <f t="shared" si="12"/>
        <v>45736</v>
      </c>
      <c r="N73" s="258"/>
      <c r="O73" s="259"/>
      <c r="P73" s="260"/>
      <c r="Q73" s="260"/>
      <c r="R73" s="154">
        <f t="shared" si="13"/>
        <v>0</v>
      </c>
      <c r="S73" s="155">
        <f t="shared" si="14"/>
        <v>0</v>
      </c>
      <c r="T73" s="119">
        <f t="shared" si="15"/>
        <v>0</v>
      </c>
      <c r="U73" s="140" t="str">
        <f>IF(T73=1,IF(R73&gt;S73,I73&amp;VLOOKUP("win_suffix",langTable,MATCH(langName,_lang!$A$1:$F$1,0),FALSE()),IF(R73&lt;S73,J73&amp;VLOOKUP("win_suffix",langTable,MATCH(langName,_lang!$A$1:$F$1,0),FALSE()),VLOOKUP("draw",langTable,MATCH(langName,_lang!$A$1:$F$1,0),FALSE()))),"")</f>
        <v/>
      </c>
      <c r="V73" s="138" t="str">
        <f t="shared" si="21"/>
        <v>ITV</v>
      </c>
      <c r="W73" s="139" t="str">
        <f>VLOOKUP("pens_na",langTable,MATCH(langName,_lang!$A$1:$F$1,0),FALSE())</f>
        <v>N/A</v>
      </c>
      <c r="X73" s="58">
        <v>46199.791666666657</v>
      </c>
      <c r="Y73" s="45"/>
      <c r="Z73" s="45"/>
      <c r="AA73" s="59">
        <f t="shared" ca="1" si="16"/>
        <v>62</v>
      </c>
      <c r="AB73" s="231"/>
      <c r="AC73" s="60" t="str">
        <f>IF(OR(AD73="",AE73="",LEFT(I73,3)="TBC",LEFT(J73,3)="TBC"),"",IFERROR(IF(COUNTIF(_h2h!$H$2:$H$94,AF73)=0,VLOOKUP("h2h_none",langTable,MATCH(langName,_lang!$A$1:$F$1,0),FALSE),IF(COUNTIF(_h2h!$H$2:$H$94,AF73)=1,"Met once · "&amp;INDEX(_h2h!$I$2:$I$94,MATCH(AF73,_h2h!$H$2:$H$94,0)),"Met "&amp;COUNTIF(_h2h!$H$2:$H$94,AF73)&amp;"× · last: "&amp;INDEX(_h2h!$I$2:$I$94,MATCH(AF73,_h2h!$H$2:$H$94,0)))),""))</f>
        <v>First WC meeting</v>
      </c>
      <c r="AD73" s="47" t="str">
        <f t="shared" si="17"/>
        <v>Senegal</v>
      </c>
      <c r="AE73" s="47" t="str">
        <f t="shared" si="18"/>
        <v>Iraq</v>
      </c>
      <c r="AF73" s="47" t="str">
        <f t="shared" si="19"/>
        <v>Iraq|Senegal</v>
      </c>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row>
    <row r="74" spans="2:59" ht="15" customHeight="1">
      <c r="B74" s="57"/>
      <c r="C74" s="230"/>
      <c r="D74" s="112">
        <v>63</v>
      </c>
      <c r="E74" s="108" t="str">
        <f>DAY(X74+tzOffset/24)&amp;" "&amp;VLOOKUP("month_"&amp;MONTH(X74+tzOffset/24),langTable,MATCH(langName,_lang!$A$1:$F$1,0),FALSE())</f>
        <v>27 Jun</v>
      </c>
      <c r="F74" s="108" t="str">
        <f>VLOOKUP("dow_"&amp;IF(WEEKDAY(X74+tzOffset/24,2)=0,7,WEEKDAY(X74+tzOffset/24,2)),langTable,MATCH(langName,_lang!$A$1:$F$1,0),FALSE())</f>
        <v>Sat</v>
      </c>
      <c r="G74" s="108" t="str">
        <f t="shared" si="10"/>
        <v>01:00</v>
      </c>
      <c r="H74" s="112" t="s">
        <v>49</v>
      </c>
      <c r="I74" s="109" t="s">
        <v>51</v>
      </c>
      <c r="J74" s="109" t="s">
        <v>57</v>
      </c>
      <c r="K74" s="109" t="s">
        <v>38</v>
      </c>
      <c r="L74" s="109" t="str">
        <f t="shared" si="11"/>
        <v>Houston</v>
      </c>
      <c r="M74" s="110">
        <f t="shared" si="12"/>
        <v>72220</v>
      </c>
      <c r="N74" s="258"/>
      <c r="O74" s="259"/>
      <c r="P74" s="260"/>
      <c r="Q74" s="260"/>
      <c r="R74" s="154">
        <f t="shared" si="13"/>
        <v>0</v>
      </c>
      <c r="S74" s="155">
        <f t="shared" si="14"/>
        <v>0</v>
      </c>
      <c r="T74" s="119">
        <f t="shared" si="15"/>
        <v>0</v>
      </c>
      <c r="U74" s="140" t="str">
        <f>IF(T74=1,IF(R74&gt;S74,I74&amp;VLOOKUP("win_suffix",langTable,MATCH(langName,_lang!$A$1:$F$1,0),FALSE()),IF(R74&lt;S74,J74&amp;VLOOKUP("win_suffix",langTable,MATCH(langName,_lang!$A$1:$F$1,0),FALSE()),VLOOKUP("draw",langTable,MATCH(langName,_lang!$A$1:$F$1,0),FALSE()))),"")</f>
        <v/>
      </c>
      <c r="V74" s="138" t="str">
        <f t="shared" si="21"/>
        <v>ITV</v>
      </c>
      <c r="W74" s="139" t="str">
        <f>VLOOKUP("pens_na",langTable,MATCH(langName,_lang!$A$1:$F$1,0),FALSE())</f>
        <v>N/A</v>
      </c>
      <c r="X74" s="58">
        <v>46200</v>
      </c>
      <c r="Y74" s="45"/>
      <c r="Z74" s="45"/>
      <c r="AA74" s="59">
        <f t="shared" ca="1" si="16"/>
        <v>63</v>
      </c>
      <c r="AB74" s="231"/>
      <c r="AC74" s="60" t="str">
        <f>IF(OR(AD74="",AE74="",LEFT(I74,3)="TBC",LEFT(J74,3)="TBC"),"",IFERROR(IF(COUNTIF(_h2h!$H$2:$H$94,AF74)=0,VLOOKUP("h2h_none",langTable,MATCH(langName,_lang!$A$1:$F$1,0),FALSE),IF(COUNTIF(_h2h!$H$2:$H$94,AF74)=1,"Met once · "&amp;INDEX(_h2h!$I$2:$I$94,MATCH(AF74,_h2h!$H$2:$H$94,0)),"Met "&amp;COUNTIF(_h2h!$H$2:$H$94,AF74)&amp;"× · last: "&amp;INDEX(_h2h!$I$2:$I$94,MATCH(AF74,_h2h!$H$2:$H$94,0)))),""))</f>
        <v>First WC meeting</v>
      </c>
      <c r="AD74" s="47" t="str">
        <f t="shared" si="17"/>
        <v>Cape Verde</v>
      </c>
      <c r="AE74" s="47" t="str">
        <f t="shared" si="18"/>
        <v>Saudi Arabia</v>
      </c>
      <c r="AF74" s="47" t="str">
        <f t="shared" si="19"/>
        <v>Cape Verde|Saudi Arabia</v>
      </c>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row>
    <row r="75" spans="2:59" ht="15" customHeight="1">
      <c r="B75" s="57"/>
      <c r="C75" s="230"/>
      <c r="D75" s="112">
        <v>64</v>
      </c>
      <c r="E75" s="108" t="str">
        <f>DAY(X75+tzOffset/24)&amp;" "&amp;VLOOKUP("month_"&amp;MONTH(X75+tzOffset/24),langTable,MATCH(langName,_lang!$A$1:$F$1,0),FALSE())</f>
        <v>27 Jun</v>
      </c>
      <c r="F75" s="108" t="str">
        <f>VLOOKUP("dow_"&amp;IF(WEEKDAY(X75+tzOffset/24,2)=0,7,WEEKDAY(X75+tzOffset/24,2)),langTable,MATCH(langName,_lang!$A$1:$F$1,0),FALSE())</f>
        <v>Sat</v>
      </c>
      <c r="G75" s="108" t="str">
        <f t="shared" si="10"/>
        <v>01:00</v>
      </c>
      <c r="H75" s="112" t="s">
        <v>49</v>
      </c>
      <c r="I75" s="109" t="s">
        <v>58</v>
      </c>
      <c r="J75" s="109" t="s">
        <v>50</v>
      </c>
      <c r="K75" s="109" t="s">
        <v>13</v>
      </c>
      <c r="L75" s="109" t="str">
        <f t="shared" si="11"/>
        <v>Zapopan (Guadalajara)</v>
      </c>
      <c r="M75" s="110">
        <f t="shared" si="12"/>
        <v>48071</v>
      </c>
      <c r="N75" s="258"/>
      <c r="O75" s="259"/>
      <c r="P75" s="260"/>
      <c r="Q75" s="260"/>
      <c r="R75" s="154">
        <f t="shared" si="13"/>
        <v>0</v>
      </c>
      <c r="S75" s="155">
        <f t="shared" si="14"/>
        <v>0</v>
      </c>
      <c r="T75" s="119">
        <f t="shared" si="15"/>
        <v>0</v>
      </c>
      <c r="U75" s="140" t="str">
        <f>IF(T75=1,IF(R75&gt;S75,I75&amp;VLOOKUP("win_suffix",langTable,MATCH(langName,_lang!$A$1:$F$1,0),FALSE()),IF(R75&lt;S75,J75&amp;VLOOKUP("win_suffix",langTable,MATCH(langName,_lang!$A$1:$F$1,0),FALSE()),VLOOKUP("draw",langTable,MATCH(langName,_lang!$A$1:$F$1,0),FALSE()))),"")</f>
        <v/>
      </c>
      <c r="V75" s="138" t="str">
        <f t="shared" si="21"/>
        <v>ITV</v>
      </c>
      <c r="W75" s="139" t="str">
        <f>VLOOKUP("pens_na",langTable,MATCH(langName,_lang!$A$1:$F$1,0),FALSE())</f>
        <v>N/A</v>
      </c>
      <c r="X75" s="58">
        <v>46200</v>
      </c>
      <c r="Y75" s="45"/>
      <c r="Z75" s="45"/>
      <c r="AA75" s="59">
        <f t="shared" ca="1" si="16"/>
        <v>64</v>
      </c>
      <c r="AB75" s="231"/>
      <c r="AC75" s="60" t="str">
        <f>IF(OR(AD75="",AE75="",LEFT(I75,3)="TBC",LEFT(J75,3)="TBC"),"",IFERROR(IF(COUNTIF(_h2h!$H$2:$H$94,AF75)=0,VLOOKUP("h2h_none",langTable,MATCH(langName,_lang!$A$1:$F$1,0),FALSE),IF(COUNTIF(_h2h!$H$2:$H$94,AF75)=1,"Met once · "&amp;INDEX(_h2h!$I$2:$I$94,MATCH(AF75,_h2h!$H$2:$H$94,0)),"Met "&amp;COUNTIF(_h2h!$H$2:$H$94,AF75)&amp;"× · last: "&amp;INDEX(_h2h!$I$2:$I$94,MATCH(AF75,_h2h!$H$2:$H$94,0)))),""))</f>
        <v>First WC meeting</v>
      </c>
      <c r="AD75" s="47" t="str">
        <f t="shared" si="17"/>
        <v>Uruguay</v>
      </c>
      <c r="AE75" s="47" t="str">
        <f t="shared" si="18"/>
        <v>Spain</v>
      </c>
      <c r="AF75" s="47" t="str">
        <f t="shared" si="19"/>
        <v>Spain|Uruguay</v>
      </c>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row>
    <row r="76" spans="2:59" ht="15" customHeight="1">
      <c r="B76" s="57"/>
      <c r="C76" s="230"/>
      <c r="D76" s="112">
        <v>65</v>
      </c>
      <c r="E76" s="108" t="str">
        <f>DAY(X76+tzOffset/24)&amp;" "&amp;VLOOKUP("month_"&amp;MONTH(X76+tzOffset/24),langTable,MATCH(langName,_lang!$A$1:$F$1,0),FALSE())</f>
        <v>27 Jun</v>
      </c>
      <c r="F76" s="108" t="str">
        <f>VLOOKUP("dow_"&amp;IF(WEEKDAY(X76+tzOffset/24,2)=0,7,WEEKDAY(X76+tzOffset/24,2)),langTable,MATCH(langName,_lang!$A$1:$F$1,0),FALSE())</f>
        <v>Sat</v>
      </c>
      <c r="G76" s="108" t="str">
        <f t="shared" ref="G76:G107" si="22">TEXT(X76+tzOffset/24,"hh:mm")</f>
        <v>04:00</v>
      </c>
      <c r="H76" s="112" t="s">
        <v>53</v>
      </c>
      <c r="I76" s="109" t="s">
        <v>55</v>
      </c>
      <c r="J76" s="109" t="s">
        <v>60</v>
      </c>
      <c r="K76" s="109" t="s">
        <v>56</v>
      </c>
      <c r="L76" s="109" t="str">
        <f t="shared" ref="L76:L107" si="23">VLOOKUP(K76,Stadiums_lookup,2,FALSE())</f>
        <v>Seattle</v>
      </c>
      <c r="M76" s="110">
        <f t="shared" ref="M76:M107" si="24">VLOOKUP(K76,Stadiums_lookup,4,FALSE())</f>
        <v>68740</v>
      </c>
      <c r="N76" s="258"/>
      <c r="O76" s="259"/>
      <c r="P76" s="260"/>
      <c r="Q76" s="260"/>
      <c r="R76" s="154">
        <f t="shared" ref="R76:R107" si="25">IF(ISNUMBER(P76),P76,IF(ISNUMBER(N76),N76,0))</f>
        <v>0</v>
      </c>
      <c r="S76" s="155">
        <f t="shared" ref="S76:S107" si="26">IF(ISNUMBER(Q76),Q76,IF(ISNUMBER(O76),O76,0))</f>
        <v>0</v>
      </c>
      <c r="T76" s="119">
        <f t="shared" ref="T76:T107" si="27">(ISNUMBER(N76)+ISNUMBER(P76)&gt;0)*(ISNUMBER(O76)+ISNUMBER(Q76)&gt;0)</f>
        <v>0</v>
      </c>
      <c r="U76" s="140" t="str">
        <f>IF(T76=1,IF(R76&gt;S76,I76&amp;VLOOKUP("win_suffix",langTable,MATCH(langName,_lang!$A$1:$F$1,0),FALSE()),IF(R76&lt;S76,J76&amp;VLOOKUP("win_suffix",langTable,MATCH(langName,_lang!$A$1:$F$1,0),FALSE()),VLOOKUP("draw",langTable,MATCH(langName,_lang!$A$1:$F$1,0),FALSE()))),"")</f>
        <v/>
      </c>
      <c r="V76" s="138" t="str">
        <f>IF(AND(tzCode="UK",langCode="EN"),IF(0,"ITV","BBC"),"")</f>
        <v>BBC</v>
      </c>
      <c r="W76" s="139" t="str">
        <f>VLOOKUP("pens_na",langTable,MATCH(langName,_lang!$A$1:$F$1,0),FALSE())</f>
        <v>N/A</v>
      </c>
      <c r="X76" s="58">
        <v>46200.125</v>
      </c>
      <c r="Y76" s="45"/>
      <c r="Z76" s="45"/>
      <c r="AA76" s="59">
        <f t="shared" ref="AA76:AA107" ca="1" si="28">IF(X76&gt;=NOW(),COUNTIFS($X$12:$X$115,"&gt;="&amp;NOW(),$X$12:$X$115,"&lt;"&amp;X76)+COUNTIFS($X$12:$X$115,"="&amp;X76,$D$12:$D$115,"&lt;"&amp;D76)+1,999)</f>
        <v>65</v>
      </c>
      <c r="AB76" s="231"/>
      <c r="AC76" s="60" t="str">
        <f>IF(OR(AD76="",AE76="",LEFT(I76,3)="TBC",LEFT(J76,3)="TBC"),"",IFERROR(IF(COUNTIF(_h2h!$H$2:$H$94,AF76)=0,VLOOKUP("h2h_none",langTable,MATCH(langName,_lang!$A$1:$F$1,0),FALSE),IF(COUNTIF(_h2h!$H$2:$H$94,AF76)=1,"Met once · "&amp;INDEX(_h2h!$I$2:$I$94,MATCH(AF76,_h2h!$H$2:$H$94,0)),"Met "&amp;COUNTIF(_h2h!$H$2:$H$94,AF76)&amp;"× · last: "&amp;INDEX(_h2h!$I$2:$I$94,MATCH(AF76,_h2h!$H$2:$H$94,0)))),""))</f>
        <v>First WC meeting</v>
      </c>
      <c r="AD76" s="47" t="str">
        <f t="shared" ref="AD76:AD107" si="29">IFERROR(TRIM(MID(I76,FIND(" ",I76)+1,999)),"")</f>
        <v>Egypt</v>
      </c>
      <c r="AE76" s="47" t="str">
        <f t="shared" ref="AE76:AE107" si="30">IFERROR(TRIM(MID(J76,FIND(" ",J76)+1,999)),"")</f>
        <v>Iran</v>
      </c>
      <c r="AF76" s="47" t="str">
        <f t="shared" ref="AF76:AF107" si="31">IF(OR(AD76="",AE76=""),"",IF(AD76&lt;AE76,AD76&amp;"|"&amp;AE76,AE76&amp;"|"&amp;AD76))</f>
        <v>Egypt|Iran</v>
      </c>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row>
    <row r="77" spans="2:59" ht="15" customHeight="1">
      <c r="B77" s="57"/>
      <c r="C77" s="230"/>
      <c r="D77" s="112">
        <v>66</v>
      </c>
      <c r="E77" s="108" t="str">
        <f>DAY(X77+tzOffset/24)&amp;" "&amp;VLOOKUP("month_"&amp;MONTH(X77+tzOffset/24),langTable,MATCH(langName,_lang!$A$1:$F$1,0),FALSE())</f>
        <v>27 Jun</v>
      </c>
      <c r="F77" s="108" t="str">
        <f>VLOOKUP("dow_"&amp;IF(WEEKDAY(X77+tzOffset/24,2)=0,7,WEEKDAY(X77+tzOffset/24,2)),langTable,MATCH(langName,_lang!$A$1:$F$1,0),FALSE())</f>
        <v>Sat</v>
      </c>
      <c r="G77" s="108" t="str">
        <f t="shared" si="22"/>
        <v>04:00</v>
      </c>
      <c r="H77" s="112" t="s">
        <v>53</v>
      </c>
      <c r="I77" s="109" t="s">
        <v>61</v>
      </c>
      <c r="J77" s="109" t="s">
        <v>54</v>
      </c>
      <c r="K77" s="109" t="s">
        <v>34</v>
      </c>
      <c r="L77" s="109" t="str">
        <f t="shared" si="23"/>
        <v>Vancouver</v>
      </c>
      <c r="M77" s="110">
        <f t="shared" si="24"/>
        <v>54500</v>
      </c>
      <c r="N77" s="258"/>
      <c r="O77" s="259"/>
      <c r="P77" s="260"/>
      <c r="Q77" s="260"/>
      <c r="R77" s="154">
        <f t="shared" si="25"/>
        <v>0</v>
      </c>
      <c r="S77" s="155">
        <f t="shared" si="26"/>
        <v>0</v>
      </c>
      <c r="T77" s="119">
        <f t="shared" si="27"/>
        <v>0</v>
      </c>
      <c r="U77" s="140" t="str">
        <f>IF(T77=1,IF(R77&gt;S77,I77&amp;VLOOKUP("win_suffix",langTable,MATCH(langName,_lang!$A$1:$F$1,0),FALSE()),IF(R77&lt;S77,J77&amp;VLOOKUP("win_suffix",langTable,MATCH(langName,_lang!$A$1:$F$1,0),FALSE()),VLOOKUP("draw",langTable,MATCH(langName,_lang!$A$1:$F$1,0),FALSE()))),"")</f>
        <v/>
      </c>
      <c r="V77" s="138" t="str">
        <f>IF(AND(tzCode="UK",langCode="EN"),IF(0,"ITV","BBC"),"")</f>
        <v>BBC</v>
      </c>
      <c r="W77" s="139" t="str">
        <f>VLOOKUP("pens_na",langTable,MATCH(langName,_lang!$A$1:$F$1,0),FALSE())</f>
        <v>N/A</v>
      </c>
      <c r="X77" s="58">
        <v>46200.125</v>
      </c>
      <c r="Y77" s="45"/>
      <c r="Z77" s="45"/>
      <c r="AA77" s="59">
        <f t="shared" ca="1" si="28"/>
        <v>66</v>
      </c>
      <c r="AB77" s="231"/>
      <c r="AC77" s="60" t="str">
        <f>IF(OR(AD77="",AE77="",LEFT(I77,3)="TBC",LEFT(J77,3)="TBC"),"",IFERROR(IF(COUNTIF(_h2h!$H$2:$H$94,AF77)=0,VLOOKUP("h2h_none",langTable,MATCH(langName,_lang!$A$1:$F$1,0),FALSE),IF(COUNTIF(_h2h!$H$2:$H$94,AF77)=1,"Met once · "&amp;INDEX(_h2h!$I$2:$I$94,MATCH(AF77,_h2h!$H$2:$H$94,0)),"Met "&amp;COUNTIF(_h2h!$H$2:$H$94,AF77)&amp;"× · last: "&amp;INDEX(_h2h!$I$2:$I$94,MATCH(AF77,_h2h!$H$2:$H$94,0)))),""))</f>
        <v>First WC meeting</v>
      </c>
      <c r="AD77" s="47" t="str">
        <f t="shared" si="29"/>
        <v>New Zealand</v>
      </c>
      <c r="AE77" s="47" t="str">
        <f t="shared" si="30"/>
        <v>Belgium</v>
      </c>
      <c r="AF77" s="47" t="str">
        <f t="shared" si="31"/>
        <v>Belgium|New Zealand</v>
      </c>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row>
    <row r="78" spans="2:59" ht="15" customHeight="1">
      <c r="B78" s="57"/>
      <c r="C78" s="230"/>
      <c r="D78" s="112">
        <v>67</v>
      </c>
      <c r="E78" s="108" t="str">
        <f>DAY(X78+tzOffset/24)&amp;" "&amp;VLOOKUP("month_"&amp;MONTH(X78+tzOffset/24),langTable,MATCH(langName,_lang!$A$1:$F$1,0),FALSE())</f>
        <v>27 Jun</v>
      </c>
      <c r="F78" s="108" t="str">
        <f>VLOOKUP("dow_"&amp;IF(WEEKDAY(X78+tzOffset/24,2)=0,7,WEEKDAY(X78+tzOffset/24,2)),langTable,MATCH(langName,_lang!$A$1:$F$1,0),FALSE())</f>
        <v>Sat</v>
      </c>
      <c r="G78" s="108" t="str">
        <f t="shared" si="22"/>
        <v>22:00</v>
      </c>
      <c r="H78" s="112" t="s">
        <v>76</v>
      </c>
      <c r="I78" s="109" t="s">
        <v>80</v>
      </c>
      <c r="J78" s="109" t="s">
        <v>77</v>
      </c>
      <c r="K78" s="109" t="s">
        <v>28</v>
      </c>
      <c r="L78" s="109" t="str">
        <f t="shared" si="23"/>
        <v>East Rutherford (NY/NJ)</v>
      </c>
      <c r="M78" s="110">
        <f t="shared" si="24"/>
        <v>82500</v>
      </c>
      <c r="N78" s="258"/>
      <c r="O78" s="259"/>
      <c r="P78" s="260"/>
      <c r="Q78" s="260"/>
      <c r="R78" s="154">
        <f t="shared" si="25"/>
        <v>0</v>
      </c>
      <c r="S78" s="155">
        <f t="shared" si="26"/>
        <v>0</v>
      </c>
      <c r="T78" s="119">
        <f t="shared" si="27"/>
        <v>0</v>
      </c>
      <c r="U78" s="140" t="str">
        <f>IF(T78=1,IF(R78&gt;S78,I78&amp;VLOOKUP("win_suffix",langTable,MATCH(langName,_lang!$A$1:$F$1,0),FALSE()),IF(R78&lt;S78,J78&amp;VLOOKUP("win_suffix",langTable,MATCH(langName,_lang!$A$1:$F$1,0),FALSE()),VLOOKUP("draw",langTable,MATCH(langName,_lang!$A$1:$F$1,0),FALSE()))),"")</f>
        <v/>
      </c>
      <c r="V78" s="138" t="str">
        <f>IF(AND(tzCode="UK",langCode="EN"),IF(1,"ITV","BBC"),"")</f>
        <v>ITV</v>
      </c>
      <c r="W78" s="139" t="str">
        <f>VLOOKUP("pens_na",langTable,MATCH(langName,_lang!$A$1:$F$1,0),FALSE())</f>
        <v>N/A</v>
      </c>
      <c r="X78" s="58">
        <v>46200.875</v>
      </c>
      <c r="Y78" s="45"/>
      <c r="Z78" s="45"/>
      <c r="AA78" s="59">
        <f t="shared" ca="1" si="28"/>
        <v>67</v>
      </c>
      <c r="AB78" s="231"/>
      <c r="AC78" s="60" t="str">
        <f>IF(OR(AD78="",AE78="",LEFT(I78,3)="TBC",LEFT(J78,3)="TBC"),"",IFERROR(IF(COUNTIF(_h2h!$H$2:$H$94,AF78)=0,VLOOKUP("h2h_none",langTable,MATCH(langName,_lang!$A$1:$F$1,0),FALSE),IF(COUNTIF(_h2h!$H$2:$H$94,AF78)=1,"Met once · "&amp;INDEX(_h2h!$I$2:$I$94,MATCH(AF78,_h2h!$H$2:$H$94,0)),"Met "&amp;COUNTIF(_h2h!$H$2:$H$94,AF78)&amp;"× · last: "&amp;INDEX(_h2h!$I$2:$I$94,MATCH(AF78,_h2h!$H$2:$H$94,0)))),""))</f>
        <v>Met once · 2018 Group: England 6-1 Panama</v>
      </c>
      <c r="AD78" s="47" t="str">
        <f t="shared" si="29"/>
        <v>Panama</v>
      </c>
      <c r="AE78" s="47" t="str">
        <f t="shared" si="30"/>
        <v>England</v>
      </c>
      <c r="AF78" s="47" t="str">
        <f t="shared" si="31"/>
        <v>England|Panama</v>
      </c>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row>
    <row r="79" spans="2:59" ht="15" customHeight="1">
      <c r="B79" s="57"/>
      <c r="C79" s="230"/>
      <c r="D79" s="112">
        <v>68</v>
      </c>
      <c r="E79" s="108" t="str">
        <f>DAY(X79+tzOffset/24)&amp;" "&amp;VLOOKUP("month_"&amp;MONTH(X79+tzOffset/24),langTable,MATCH(langName,_lang!$A$1:$F$1,0),FALSE())</f>
        <v>27 Jun</v>
      </c>
      <c r="F79" s="108" t="str">
        <f>VLOOKUP("dow_"&amp;IF(WEEKDAY(X79+tzOffset/24,2)=0,7,WEEKDAY(X79+tzOffset/24,2)),langTable,MATCH(langName,_lang!$A$1:$F$1,0),FALSE())</f>
        <v>Sat</v>
      </c>
      <c r="G79" s="108" t="str">
        <f t="shared" si="22"/>
        <v>22:00</v>
      </c>
      <c r="H79" s="112" t="s">
        <v>76</v>
      </c>
      <c r="I79" s="109" t="s">
        <v>78</v>
      </c>
      <c r="J79" s="109" t="s">
        <v>79</v>
      </c>
      <c r="K79" s="109" t="s">
        <v>45</v>
      </c>
      <c r="L79" s="109" t="str">
        <f t="shared" si="23"/>
        <v>Philadelphia</v>
      </c>
      <c r="M79" s="110">
        <f t="shared" si="24"/>
        <v>69176</v>
      </c>
      <c r="N79" s="258"/>
      <c r="O79" s="259"/>
      <c r="P79" s="260"/>
      <c r="Q79" s="260"/>
      <c r="R79" s="154">
        <f t="shared" si="25"/>
        <v>0</v>
      </c>
      <c r="S79" s="155">
        <f t="shared" si="26"/>
        <v>0</v>
      </c>
      <c r="T79" s="119">
        <f t="shared" si="27"/>
        <v>0</v>
      </c>
      <c r="U79" s="140" t="str">
        <f>IF(T79=1,IF(R79&gt;S79,I79&amp;VLOOKUP("win_suffix",langTable,MATCH(langName,_lang!$A$1:$F$1,0),FALSE()),IF(R79&lt;S79,J79&amp;VLOOKUP("win_suffix",langTable,MATCH(langName,_lang!$A$1:$F$1,0),FALSE()),VLOOKUP("draw",langTable,MATCH(langName,_lang!$A$1:$F$1,0),FALSE()))),"")</f>
        <v/>
      </c>
      <c r="V79" s="138" t="str">
        <f>IF(AND(tzCode="UK",langCode="EN"),IF(1,"ITV","BBC"),"")</f>
        <v>ITV</v>
      </c>
      <c r="W79" s="139" t="str">
        <f>VLOOKUP("pens_na",langTable,MATCH(langName,_lang!$A$1:$F$1,0),FALSE())</f>
        <v>N/A</v>
      </c>
      <c r="X79" s="58">
        <v>46200.875</v>
      </c>
      <c r="Y79" s="45"/>
      <c r="Z79" s="45"/>
      <c r="AA79" s="59">
        <f t="shared" ca="1" si="28"/>
        <v>68</v>
      </c>
      <c r="AB79" s="231"/>
      <c r="AC79" s="60" t="str">
        <f>IF(OR(AD79="",AE79="",LEFT(I79,3)="TBC",LEFT(J79,3)="TBC"),"",IFERROR(IF(COUNTIF(_h2h!$H$2:$H$94,AF79)=0,VLOOKUP("h2h_none",langTable,MATCH(langName,_lang!$A$1:$F$1,0),FALSE),IF(COUNTIF(_h2h!$H$2:$H$94,AF79)=1,"Met once · "&amp;INDEX(_h2h!$I$2:$I$94,MATCH(AF79,_h2h!$H$2:$H$94,0)),"Met "&amp;COUNTIF(_h2h!$H$2:$H$94,AF79)&amp;"× · last: "&amp;INDEX(_h2h!$I$2:$I$94,MATCH(AF79,_h2h!$H$2:$H$94,0)))),""))</f>
        <v>First WC meeting</v>
      </c>
      <c r="AD79" s="47" t="str">
        <f t="shared" si="29"/>
        <v>Croatia</v>
      </c>
      <c r="AE79" s="47" t="str">
        <f t="shared" si="30"/>
        <v>Ghana</v>
      </c>
      <c r="AF79" s="47" t="str">
        <f t="shared" si="31"/>
        <v>Croatia|Ghana</v>
      </c>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row>
    <row r="80" spans="2:59" ht="15" customHeight="1">
      <c r="B80" s="57"/>
      <c r="C80" s="230"/>
      <c r="D80" s="112">
        <v>69</v>
      </c>
      <c r="E80" s="108" t="str">
        <f>DAY(X80+tzOffset/24)&amp;" "&amp;VLOOKUP("month_"&amp;MONTH(X80+tzOffset/24),langTable,MATCH(langName,_lang!$A$1:$F$1,0),FALSE())</f>
        <v>28 Jun</v>
      </c>
      <c r="F80" s="108" t="str">
        <f>VLOOKUP("dow_"&amp;IF(WEEKDAY(X80+tzOffset/24,2)=0,7,WEEKDAY(X80+tzOffset/24,2)),langTable,MATCH(langName,_lang!$A$1:$F$1,0),FALSE())</f>
        <v>Sun</v>
      </c>
      <c r="G80" s="108" t="str">
        <f t="shared" si="22"/>
        <v>00:30</v>
      </c>
      <c r="H80" s="112" t="s">
        <v>73</v>
      </c>
      <c r="I80" s="109" t="s">
        <v>82</v>
      </c>
      <c r="J80" s="109" t="s">
        <v>74</v>
      </c>
      <c r="K80" s="109" t="s">
        <v>59</v>
      </c>
      <c r="L80" s="109" t="str">
        <f t="shared" si="23"/>
        <v>Miami Gardens</v>
      </c>
      <c r="M80" s="110">
        <f t="shared" si="24"/>
        <v>65326</v>
      </c>
      <c r="N80" s="258"/>
      <c r="O80" s="259"/>
      <c r="P80" s="260"/>
      <c r="Q80" s="260"/>
      <c r="R80" s="154">
        <f t="shared" si="25"/>
        <v>0</v>
      </c>
      <c r="S80" s="155">
        <f t="shared" si="26"/>
        <v>0</v>
      </c>
      <c r="T80" s="119">
        <f t="shared" si="27"/>
        <v>0</v>
      </c>
      <c r="U80" s="140" t="str">
        <f>IF(T80=1,IF(R80&gt;S80,I80&amp;VLOOKUP("win_suffix",langTable,MATCH(langName,_lang!$A$1:$F$1,0),FALSE()),IF(R80&lt;S80,J80&amp;VLOOKUP("win_suffix",langTable,MATCH(langName,_lang!$A$1:$F$1,0),FALSE()),VLOOKUP("draw",langTable,MATCH(langName,_lang!$A$1:$F$1,0),FALSE()))),"")</f>
        <v/>
      </c>
      <c r="V80" s="138" t="str">
        <f>IF(AND(tzCode="UK",langCode="EN"),IF(0,"ITV","BBC"),"")</f>
        <v>BBC</v>
      </c>
      <c r="W80" s="139" t="str">
        <f>VLOOKUP("pens_na",langTable,MATCH(langName,_lang!$A$1:$F$1,0),FALSE())</f>
        <v>N/A</v>
      </c>
      <c r="X80" s="58">
        <v>46200.979166666657</v>
      </c>
      <c r="Y80" s="45"/>
      <c r="Z80" s="45"/>
      <c r="AA80" s="59">
        <f t="shared" ca="1" si="28"/>
        <v>69</v>
      </c>
      <c r="AB80" s="231"/>
      <c r="AC80" s="60" t="str">
        <f>IF(OR(AD80="",AE80="",LEFT(I80,3)="TBC",LEFT(J80,3)="TBC"),"",IFERROR(IF(COUNTIF(_h2h!$H$2:$H$94,AF80)=0,VLOOKUP("h2h_none",langTable,MATCH(langName,_lang!$A$1:$F$1,0),FALSE),IF(COUNTIF(_h2h!$H$2:$H$94,AF80)=1,"Met once · "&amp;INDEX(_h2h!$I$2:$I$94,MATCH(AF80,_h2h!$H$2:$H$94,0)),"Met "&amp;COUNTIF(_h2h!$H$2:$H$94,AF80)&amp;"× · last: "&amp;INDEX(_h2h!$I$2:$I$94,MATCH(AF80,_h2h!$H$2:$H$94,0)))),""))</f>
        <v>First WC meeting</v>
      </c>
      <c r="AD80" s="47" t="str">
        <f t="shared" si="29"/>
        <v>Colombia</v>
      </c>
      <c r="AE80" s="47" t="str">
        <f t="shared" si="30"/>
        <v>Portugal</v>
      </c>
      <c r="AF80" s="47" t="str">
        <f t="shared" si="31"/>
        <v>Colombia|Portugal</v>
      </c>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row>
    <row r="81" spans="2:59" ht="15" customHeight="1">
      <c r="B81" s="57"/>
      <c r="C81" s="230"/>
      <c r="D81" s="112">
        <v>70</v>
      </c>
      <c r="E81" s="108" t="str">
        <f>DAY(X81+tzOffset/24)&amp;" "&amp;VLOOKUP("month_"&amp;MONTH(X81+tzOffset/24),langTable,MATCH(langName,_lang!$A$1:$F$1,0),FALSE())</f>
        <v>28 Jun</v>
      </c>
      <c r="F81" s="108" t="str">
        <f>VLOOKUP("dow_"&amp;IF(WEEKDAY(X81+tzOffset/24,2)=0,7,WEEKDAY(X81+tzOffset/24,2)),langTable,MATCH(langName,_lang!$A$1:$F$1,0),FALSE())</f>
        <v>Sun</v>
      </c>
      <c r="G81" s="108" t="str">
        <f t="shared" si="22"/>
        <v>00:30</v>
      </c>
      <c r="H81" s="112" t="s">
        <v>73</v>
      </c>
      <c r="I81" s="109" t="s">
        <v>75</v>
      </c>
      <c r="J81" s="109" t="s">
        <v>81</v>
      </c>
      <c r="K81" s="109" t="s">
        <v>52</v>
      </c>
      <c r="L81" s="109" t="str">
        <f t="shared" si="23"/>
        <v>Atlanta</v>
      </c>
      <c r="M81" s="110">
        <f t="shared" si="24"/>
        <v>71000</v>
      </c>
      <c r="N81" s="258"/>
      <c r="O81" s="259"/>
      <c r="P81" s="260"/>
      <c r="Q81" s="260"/>
      <c r="R81" s="154">
        <f t="shared" si="25"/>
        <v>0</v>
      </c>
      <c r="S81" s="155">
        <f t="shared" si="26"/>
        <v>0</v>
      </c>
      <c r="T81" s="119">
        <f t="shared" si="27"/>
        <v>0</v>
      </c>
      <c r="U81" s="140" t="str">
        <f>IF(T81=1,IF(R81&gt;S81,I81&amp;VLOOKUP("win_suffix",langTable,MATCH(langName,_lang!$A$1:$F$1,0),FALSE()),IF(R81&lt;S81,J81&amp;VLOOKUP("win_suffix",langTable,MATCH(langName,_lang!$A$1:$F$1,0),FALSE()),VLOOKUP("draw",langTable,MATCH(langName,_lang!$A$1:$F$1,0),FALSE()))),"")</f>
        <v/>
      </c>
      <c r="V81" s="138" t="str">
        <f>IF(AND(tzCode="UK",langCode="EN"),IF(0,"ITV","BBC"),"")</f>
        <v>BBC</v>
      </c>
      <c r="W81" s="139" t="str">
        <f>VLOOKUP("pens_na",langTable,MATCH(langName,_lang!$A$1:$F$1,0),FALSE())</f>
        <v>N/A</v>
      </c>
      <c r="X81" s="58">
        <v>46200.979166666657</v>
      </c>
      <c r="Y81" s="45"/>
      <c r="Z81" s="45"/>
      <c r="AA81" s="59">
        <f t="shared" ca="1" si="28"/>
        <v>70</v>
      </c>
      <c r="AB81" s="231"/>
      <c r="AC81" s="60" t="str">
        <f>IF(OR(AD81="",AE81="",LEFT(I81,3)="TBC",LEFT(J81,3)="TBC"),"",IFERROR(IF(COUNTIF(_h2h!$H$2:$H$94,AF81)=0,VLOOKUP("h2h_none",langTable,MATCH(langName,_lang!$A$1:$F$1,0),FALSE),IF(COUNTIF(_h2h!$H$2:$H$94,AF81)=1,"Met once · "&amp;INDEX(_h2h!$I$2:$I$94,MATCH(AF81,_h2h!$H$2:$H$94,0)),"Met "&amp;COUNTIF(_h2h!$H$2:$H$94,AF81)&amp;"× · last: "&amp;INDEX(_h2h!$I$2:$I$94,MATCH(AF81,_h2h!$H$2:$H$94,0)))),""))</f>
        <v>First WC meeting</v>
      </c>
      <c r="AD81" s="47" t="str">
        <f t="shared" si="29"/>
        <v>DR Congo</v>
      </c>
      <c r="AE81" s="47" t="str">
        <f t="shared" si="30"/>
        <v>Uzbekistan</v>
      </c>
      <c r="AF81" s="47" t="str">
        <f t="shared" si="31"/>
        <v>DR Congo|Uzbekistan</v>
      </c>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row>
    <row r="82" spans="2:59" ht="15" customHeight="1">
      <c r="B82" s="57"/>
      <c r="C82" s="230"/>
      <c r="D82" s="112">
        <v>71</v>
      </c>
      <c r="E82" s="108" t="str">
        <f>DAY(X82+tzOffset/24)&amp;" "&amp;VLOOKUP("month_"&amp;MONTH(X82+tzOffset/24),langTable,MATCH(langName,_lang!$A$1:$F$1,0),FALSE())</f>
        <v>28 Jun</v>
      </c>
      <c r="F82" s="108" t="str">
        <f>VLOOKUP("dow_"&amp;IF(WEEKDAY(X82+tzOffset/24,2)=0,7,WEEKDAY(X82+tzOffset/24,2)),langTable,MATCH(langName,_lang!$A$1:$F$1,0),FALSE())</f>
        <v>Sun</v>
      </c>
      <c r="G82" s="108" t="str">
        <f t="shared" si="22"/>
        <v>03:00</v>
      </c>
      <c r="H82" s="112" t="s">
        <v>67</v>
      </c>
      <c r="I82" s="109" t="s">
        <v>69</v>
      </c>
      <c r="J82" s="109" t="s">
        <v>71</v>
      </c>
      <c r="K82" s="109" t="s">
        <v>70</v>
      </c>
      <c r="L82" s="109" t="str">
        <f t="shared" si="23"/>
        <v>Kansas City</v>
      </c>
      <c r="M82" s="110">
        <f t="shared" si="24"/>
        <v>76416</v>
      </c>
      <c r="N82" s="258"/>
      <c r="O82" s="259"/>
      <c r="P82" s="260"/>
      <c r="Q82" s="260"/>
      <c r="R82" s="154">
        <f t="shared" si="25"/>
        <v>0</v>
      </c>
      <c r="S82" s="155">
        <f t="shared" si="26"/>
        <v>0</v>
      </c>
      <c r="T82" s="119">
        <f t="shared" si="27"/>
        <v>0</v>
      </c>
      <c r="U82" s="140" t="str">
        <f>IF(T82=1,IF(R82&gt;S82,I82&amp;VLOOKUP("win_suffix",langTable,MATCH(langName,_lang!$A$1:$F$1,0),FALSE()),IF(R82&lt;S82,J82&amp;VLOOKUP("win_suffix",langTable,MATCH(langName,_lang!$A$1:$F$1,0),FALSE()),VLOOKUP("draw",langTable,MATCH(langName,_lang!$A$1:$F$1,0),FALSE()))),"")</f>
        <v/>
      </c>
      <c r="V82" s="138" t="str">
        <f>IF(AND(tzCode="UK",langCode="EN"),IF(0,"ITV","BBC"),"")</f>
        <v>BBC</v>
      </c>
      <c r="W82" s="139" t="str">
        <f>VLOOKUP("pens_na",langTable,MATCH(langName,_lang!$A$1:$F$1,0),FALSE())</f>
        <v>N/A</v>
      </c>
      <c r="X82" s="58">
        <v>46201.083333333343</v>
      </c>
      <c r="Y82" s="45"/>
      <c r="Z82" s="45"/>
      <c r="AA82" s="59">
        <f t="shared" ca="1" si="28"/>
        <v>71</v>
      </c>
      <c r="AB82" s="231"/>
      <c r="AC82" s="60" t="str">
        <f>IF(OR(AD82="",AE82="",LEFT(I82,3)="TBC",LEFT(J82,3)="TBC"),"",IFERROR(IF(COUNTIF(_h2h!$H$2:$H$94,AF82)=0,VLOOKUP("h2h_none",langTable,MATCH(langName,_lang!$A$1:$F$1,0),FALSE),IF(COUNTIF(_h2h!$H$2:$H$94,AF82)=1,"Met once · "&amp;INDEX(_h2h!$I$2:$I$94,MATCH(AF82,_h2h!$H$2:$H$94,0)),"Met "&amp;COUNTIF(_h2h!$H$2:$H$94,AF82)&amp;"× · last: "&amp;INDEX(_h2h!$I$2:$I$94,MATCH(AF82,_h2h!$H$2:$H$94,0)))),""))</f>
        <v>First WC meeting</v>
      </c>
      <c r="AD82" s="47" t="str">
        <f t="shared" si="29"/>
        <v>Algeria</v>
      </c>
      <c r="AE82" s="47" t="str">
        <f t="shared" si="30"/>
        <v>Austria</v>
      </c>
      <c r="AF82" s="47" t="str">
        <f t="shared" si="31"/>
        <v>Algeria|Austria</v>
      </c>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row>
    <row r="83" spans="2:59" ht="15" customHeight="1">
      <c r="B83" s="57"/>
      <c r="C83" s="230"/>
      <c r="D83" s="112">
        <v>72</v>
      </c>
      <c r="E83" s="108" t="str">
        <f>DAY(X83+tzOffset/24)&amp;" "&amp;VLOOKUP("month_"&amp;MONTH(X83+tzOffset/24),langTable,MATCH(langName,_lang!$A$1:$F$1,0),FALSE())</f>
        <v>28 Jun</v>
      </c>
      <c r="F83" s="108" t="str">
        <f>VLOOKUP("dow_"&amp;IF(WEEKDAY(X83+tzOffset/24,2)=0,7,WEEKDAY(X83+tzOffset/24,2)),langTable,MATCH(langName,_lang!$A$1:$F$1,0),FALSE())</f>
        <v>Sun</v>
      </c>
      <c r="G83" s="108" t="str">
        <f t="shared" si="22"/>
        <v>03:00</v>
      </c>
      <c r="H83" s="112" t="s">
        <v>67</v>
      </c>
      <c r="I83" s="109" t="s">
        <v>72</v>
      </c>
      <c r="J83" s="109" t="s">
        <v>68</v>
      </c>
      <c r="K83" s="109" t="s">
        <v>42</v>
      </c>
      <c r="L83" s="109" t="str">
        <f t="shared" si="23"/>
        <v>Arlington (Dallas)</v>
      </c>
      <c r="M83" s="110">
        <f t="shared" si="24"/>
        <v>92967</v>
      </c>
      <c r="N83" s="258"/>
      <c r="O83" s="259"/>
      <c r="P83" s="260"/>
      <c r="Q83" s="260"/>
      <c r="R83" s="154">
        <f t="shared" si="25"/>
        <v>0</v>
      </c>
      <c r="S83" s="155">
        <f t="shared" si="26"/>
        <v>0</v>
      </c>
      <c r="T83" s="119">
        <f t="shared" si="27"/>
        <v>0</v>
      </c>
      <c r="U83" s="140" t="str">
        <f>IF(T83=1,IF(R83&gt;S83,I83&amp;VLOOKUP("win_suffix",langTable,MATCH(langName,_lang!$A$1:$F$1,0),FALSE()),IF(R83&lt;S83,J83&amp;VLOOKUP("win_suffix",langTable,MATCH(langName,_lang!$A$1:$F$1,0),FALSE()),VLOOKUP("draw",langTable,MATCH(langName,_lang!$A$1:$F$1,0),FALSE()))),"")</f>
        <v/>
      </c>
      <c r="V83" s="138" t="str">
        <f>IF(AND(tzCode="UK",langCode="EN"),IF(0,"ITV","BBC"),"")</f>
        <v>BBC</v>
      </c>
      <c r="W83" s="139" t="str">
        <f>VLOOKUP("pens_na",langTable,MATCH(langName,_lang!$A$1:$F$1,0),FALSE())</f>
        <v>N/A</v>
      </c>
      <c r="X83" s="58">
        <v>46201.083333333343</v>
      </c>
      <c r="Y83" s="45"/>
      <c r="Z83" s="45"/>
      <c r="AA83" s="59">
        <f t="shared" ca="1" si="28"/>
        <v>72</v>
      </c>
      <c r="AB83" s="231"/>
      <c r="AC83" s="60" t="str">
        <f>IF(OR(AD83="",AE83="",LEFT(I83,3)="TBC",LEFT(J83,3)="TBC"),"",IFERROR(IF(COUNTIF(_h2h!$H$2:$H$94,AF83)=0,VLOOKUP("h2h_none",langTable,MATCH(langName,_lang!$A$1:$F$1,0),FALSE),IF(COUNTIF(_h2h!$H$2:$H$94,AF83)=1,"Met once · "&amp;INDEX(_h2h!$I$2:$I$94,MATCH(AF83,_h2h!$H$2:$H$94,0)),"Met "&amp;COUNTIF(_h2h!$H$2:$H$94,AF83)&amp;"× · last: "&amp;INDEX(_h2h!$I$2:$I$94,MATCH(AF83,_h2h!$H$2:$H$94,0)))),""))</f>
        <v>First WC meeting</v>
      </c>
      <c r="AD83" s="47" t="str">
        <f t="shared" si="29"/>
        <v>Jordan</v>
      </c>
      <c r="AE83" s="47" t="str">
        <f t="shared" si="30"/>
        <v>Argentina</v>
      </c>
      <c r="AF83" s="47" t="str">
        <f t="shared" si="31"/>
        <v>Argentina|Jordan</v>
      </c>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row>
    <row r="84" spans="2:59" ht="15" customHeight="1">
      <c r="B84" s="57"/>
      <c r="C84" s="230"/>
      <c r="D84" s="112">
        <v>73</v>
      </c>
      <c r="E84" s="108" t="str">
        <f>DAY(X84+tzOffset/24)&amp;" "&amp;VLOOKUP("month_"&amp;MONTH(X84+tzOffset/24),langTable,MATCH(langName,_lang!$A$1:$F$1,0),FALSE())</f>
        <v>28 Jun</v>
      </c>
      <c r="F84" s="108" t="str">
        <f>VLOOKUP("dow_"&amp;IF(WEEKDAY(X84+tzOffset/24,2)=0,7,WEEKDAY(X84+tzOffset/24,2)),langTable,MATCH(langName,_lang!$A$1:$F$1,0),FALSE())</f>
        <v>Sun</v>
      </c>
      <c r="G84" s="108" t="str">
        <f t="shared" si="22"/>
        <v>20:00</v>
      </c>
      <c r="H84" s="112" t="s">
        <v>83</v>
      </c>
      <c r="I84" s="111" t="str">
        <f t="array" ref="I84">IFERROR(IF(OR(LEN(IFERROR(INDEX('Group Tables'!$D$13:$D$16,MATCH(2,'Group Tables'!$P$13:$P$16,0)),"2A"))&lt;5,LEFT(IFERROR(INDEX('Group Tables'!$D$13:$D$16,MATCH(2,'Group Tables'!$P$13:$P$16,0)),"2A"),3)="TBC"),"TBC",IFERROR(INDEX('Group Tables'!$D$13:$D$16,MATCH(2,'Group Tables'!$P$13:$P$16,0)),"2A")),"TBC")</f>
        <v>TBC</v>
      </c>
      <c r="J84" s="111" t="str">
        <f t="array" ref="J84">IFERROR(IF(OR(LEN(IFERROR(INDEX('Group Tables'!$Q$13:$Q$16,MATCH(2,'Group Tables'!$AC$13:$AC$16,0)),"2B"))&lt;5,LEFT(IFERROR(INDEX('Group Tables'!$Q$13:$Q$16,MATCH(2,'Group Tables'!$AC$13:$AC$16,0)),"2B"),3)="TBC"),"TBC",IFERROR(INDEX('Group Tables'!$Q$13:$Q$16,MATCH(2,'Group Tables'!$AC$13:$AC$16,0)),"2B")),"TBC")</f>
        <v>TBC</v>
      </c>
      <c r="K84" s="109" t="s">
        <v>21</v>
      </c>
      <c r="L84" s="109" t="str">
        <f t="shared" si="23"/>
        <v>Inglewood (Los Angeles)</v>
      </c>
      <c r="M84" s="110">
        <f t="shared" si="24"/>
        <v>70240</v>
      </c>
      <c r="N84" s="258"/>
      <c r="O84" s="259"/>
      <c r="P84" s="260"/>
      <c r="Q84" s="260"/>
      <c r="R84" s="154">
        <f t="shared" si="25"/>
        <v>0</v>
      </c>
      <c r="S84" s="155">
        <f t="shared" si="26"/>
        <v>0</v>
      </c>
      <c r="T84" s="119">
        <f t="shared" si="27"/>
        <v>0</v>
      </c>
      <c r="U84" s="140" t="str">
        <f>IF(T84=1,IF(R84&gt;S84,I84&amp;VLOOKUP("win_suffix",langTable,MATCH(langName,_lang!$A$1:$F$1,0),FALSE()),IF(R84&lt;S84,J84&amp;VLOOKUP("win_suffix",langTable,MATCH(langName,_lang!$A$1:$F$1,0),FALSE()),IF(W84&lt;&gt;"",W84&amp;VLOOKUP("on_pens_suf",langTable,MATCH(langName,_lang!$A$1:$F$1,0),FALSE()),""))),"")</f>
        <v/>
      </c>
      <c r="V84" s="138" t="str">
        <f t="shared" ref="V84:V113" si="32">IF(AND(tzCode="UK",langCode="EN"),"BBC / ITV (TBC)","")</f>
        <v>BBC / ITV (TBC)</v>
      </c>
      <c r="W84" s="261"/>
      <c r="X84" s="58">
        <v>46201.791666666657</v>
      </c>
      <c r="Y84" s="61" t="str">
        <f t="shared" ref="Y84:Y115" si="33">IF(T84=1,IF(R84&gt;S84,I84,IF(S84&gt;R84,J84,IF(W84=I84,I84,IF(W84=J84,J84,"")))),"")</f>
        <v/>
      </c>
      <c r="Z84" s="61" t="str">
        <f t="shared" ref="Z84:Z115" si="34">IF(Y84="","",IF(Y84=I84,J84,IF(Y84=J84,I84,"")))</f>
        <v/>
      </c>
      <c r="AA84" s="62">
        <f t="shared" ca="1" si="28"/>
        <v>73</v>
      </c>
      <c r="AB84" s="231"/>
      <c r="AC84" s="60" t="str">
        <f>IF(OR(AD84="",AE84="",LEFT(I84,3)="TBC",LEFT(J84,3)="TBC"),"",IFERROR(IF(COUNTIF(_h2h!$H$2:$H$94,AF84)=0,VLOOKUP("h2h_none",langTable,MATCH(langName,_lang!$A$1:$F$1,0),FALSE),IF(COUNTIF(_h2h!$H$2:$H$94,AF84)=1,"Met once · "&amp;INDEX(_h2h!$I$2:$I$94,MATCH(AF84,_h2h!$H$2:$H$94,0)),"Met "&amp;COUNTIF(_h2h!$H$2:$H$94,AF84)&amp;"× · last: "&amp;INDEX(_h2h!$I$2:$I$94,MATCH(AF84,_h2h!$H$2:$H$94,0)))),""))</f>
        <v/>
      </c>
      <c r="AD84" s="47" t="str">
        <f t="shared" si="29"/>
        <v/>
      </c>
      <c r="AE84" s="47" t="str">
        <f t="shared" si="30"/>
        <v/>
      </c>
      <c r="AF84" s="47" t="str">
        <f t="shared" si="31"/>
        <v/>
      </c>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row>
    <row r="85" spans="2:59" ht="15" customHeight="1">
      <c r="B85" s="57"/>
      <c r="C85" s="230"/>
      <c r="D85" s="112">
        <v>74</v>
      </c>
      <c r="E85" s="108" t="str">
        <f>DAY(X85+tzOffset/24)&amp;" "&amp;VLOOKUP("month_"&amp;MONTH(X85+tzOffset/24),langTable,MATCH(langName,_lang!$A$1:$F$1,0),FALSE())</f>
        <v>29 Jun</v>
      </c>
      <c r="F85" s="108" t="str">
        <f>VLOOKUP("dow_"&amp;IF(WEEKDAY(X85+tzOffset/24,2)=0,7,WEEKDAY(X85+tzOffset/24,2)),langTable,MATCH(langName,_lang!$A$1:$F$1,0),FALSE())</f>
        <v>Mon</v>
      </c>
      <c r="G85" s="108" t="str">
        <f t="shared" si="22"/>
        <v>21:30</v>
      </c>
      <c r="H85" s="112" t="s">
        <v>83</v>
      </c>
      <c r="I85" s="111" t="str">
        <f t="array" ref="I85">IFERROR(IF(OR(LEN(IFERROR(INDEX('Group Tables'!$Q$22:$Q$25,MATCH(1,'Group Tables'!$AC$22:$AC$25,0)),"1E"))&lt;5,LEFT(IFERROR(INDEX('Group Tables'!$Q$22:$Q$25,MATCH(1,'Group Tables'!$AC$22:$AC$25,0)),"1E"),3)="TBC"),"TBC",IFERROR(INDEX('Group Tables'!$Q$22:$Q$25,MATCH(1,'Group Tables'!$AC$22:$AC$25,0)),"1E")),"TBC")</f>
        <v>TBC</v>
      </c>
      <c r="J85" s="111" t="str">
        <f>IFERROR(IF(OR(LEN('Group Tables'!$F$65)&lt;5,LEFT('Group Tables'!$F$65,3)="TBC"),"TBC",'Group Tables'!$F$65),"TBC")</f>
        <v>TBC</v>
      </c>
      <c r="K85" s="109" t="s">
        <v>31</v>
      </c>
      <c r="L85" s="109" t="str">
        <f t="shared" si="23"/>
        <v>Foxborough (Boston)</v>
      </c>
      <c r="M85" s="110">
        <f t="shared" si="24"/>
        <v>64628</v>
      </c>
      <c r="N85" s="258"/>
      <c r="O85" s="259"/>
      <c r="P85" s="260"/>
      <c r="Q85" s="260"/>
      <c r="R85" s="154">
        <f t="shared" si="25"/>
        <v>0</v>
      </c>
      <c r="S85" s="155">
        <f t="shared" si="26"/>
        <v>0</v>
      </c>
      <c r="T85" s="119">
        <f t="shared" si="27"/>
        <v>0</v>
      </c>
      <c r="U85" s="140" t="str">
        <f>IF(T85=1,IF(R85&gt;S85,I85&amp;VLOOKUP("win_suffix",langTable,MATCH(langName,_lang!$A$1:$F$1,0),FALSE()),IF(R85&lt;S85,J85&amp;VLOOKUP("win_suffix",langTable,MATCH(langName,_lang!$A$1:$F$1,0),FALSE()),IF(W85&lt;&gt;"",W85&amp;VLOOKUP("on_pens_suf",langTable,MATCH(langName,_lang!$A$1:$F$1,0),FALSE()),""))),"")</f>
        <v/>
      </c>
      <c r="V85" s="138" t="str">
        <f t="shared" si="32"/>
        <v>BBC / ITV (TBC)</v>
      </c>
      <c r="W85" s="261"/>
      <c r="X85" s="58">
        <v>46202.854166666657</v>
      </c>
      <c r="Y85" s="61" t="str">
        <f t="shared" si="33"/>
        <v/>
      </c>
      <c r="Z85" s="61" t="str">
        <f t="shared" si="34"/>
        <v/>
      </c>
      <c r="AA85" s="62">
        <f t="shared" ca="1" si="28"/>
        <v>75</v>
      </c>
      <c r="AB85" s="231"/>
      <c r="AC85" s="60" t="str">
        <f>IF(OR(AD85="",AE85="",LEFT(I85,3)="TBC",LEFT(J85,3)="TBC"),"",IFERROR(IF(COUNTIF(_h2h!$H$2:$H$94,AF85)=0,VLOOKUP("h2h_none",langTable,MATCH(langName,_lang!$A$1:$F$1,0),FALSE),IF(COUNTIF(_h2h!$H$2:$H$94,AF85)=1,"Met once · "&amp;INDEX(_h2h!$I$2:$I$94,MATCH(AF85,_h2h!$H$2:$H$94,0)),"Met "&amp;COUNTIF(_h2h!$H$2:$H$94,AF85)&amp;"× · last: "&amp;INDEX(_h2h!$I$2:$I$94,MATCH(AF85,_h2h!$H$2:$H$94,0)))),""))</f>
        <v/>
      </c>
      <c r="AD85" s="47" t="str">
        <f t="shared" si="29"/>
        <v/>
      </c>
      <c r="AE85" s="47" t="str">
        <f t="shared" si="30"/>
        <v/>
      </c>
      <c r="AF85" s="47" t="str">
        <f t="shared" si="31"/>
        <v/>
      </c>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row>
    <row r="86" spans="2:59" ht="15" customHeight="1">
      <c r="B86" s="57"/>
      <c r="C86" s="230"/>
      <c r="D86" s="112">
        <v>75</v>
      </c>
      <c r="E86" s="108" t="str">
        <f>DAY(X86+tzOffset/24)&amp;" "&amp;VLOOKUP("month_"&amp;MONTH(X86+tzOffset/24),langTable,MATCH(langName,_lang!$A$1:$F$1,0),FALSE())</f>
        <v>30 Jun</v>
      </c>
      <c r="F86" s="108" t="str">
        <f>VLOOKUP("dow_"&amp;IF(WEEKDAY(X86+tzOffset/24,2)=0,7,WEEKDAY(X86+tzOffset/24,2)),langTable,MATCH(langName,_lang!$A$1:$F$1,0),FALSE())</f>
        <v>Tue</v>
      </c>
      <c r="G86" s="108" t="str">
        <f t="shared" si="22"/>
        <v>02:00</v>
      </c>
      <c r="H86" s="112" t="s">
        <v>83</v>
      </c>
      <c r="I86" s="111" t="str">
        <f t="array" ref="I86">IFERROR(IF(OR(LEN(IFERROR(INDEX('Group Tables'!$AD$22:$AD$25,MATCH(1,'Group Tables'!$AP$22:$AP$25,0)),"1F"))&lt;5,LEFT(IFERROR(INDEX('Group Tables'!$AD$22:$AD$25,MATCH(1,'Group Tables'!$AP$22:$AP$25,0)),"1F"),3)="TBC"),"TBC",IFERROR(INDEX('Group Tables'!$AD$22:$AD$25,MATCH(1,'Group Tables'!$AP$22:$AP$25,0)),"1F")),"TBC")</f>
        <v>TBC</v>
      </c>
      <c r="J86" s="111" t="str">
        <f t="array" ref="J86">IFERROR(IF(OR(LEN(IFERROR(INDEX('Group Tables'!$AD$13:$AD$16,MATCH(2,'Group Tables'!$AP$13:$AP$16,0)),"2C"))&lt;5,LEFT(IFERROR(INDEX('Group Tables'!$AD$13:$AD$16,MATCH(2,'Group Tables'!$AP$13:$AP$16,0)),"2C"),3)="TBC"),"TBC",IFERROR(INDEX('Group Tables'!$AD$13:$AD$16,MATCH(2,'Group Tables'!$AP$13:$AP$16,0)),"2C")),"TBC")</f>
        <v>TBC</v>
      </c>
      <c r="K86" s="109" t="s">
        <v>48</v>
      </c>
      <c r="L86" s="109" t="str">
        <f t="shared" si="23"/>
        <v>Monterrey</v>
      </c>
      <c r="M86" s="110">
        <f t="shared" si="24"/>
        <v>53500</v>
      </c>
      <c r="N86" s="258"/>
      <c r="O86" s="259"/>
      <c r="P86" s="260"/>
      <c r="Q86" s="260"/>
      <c r="R86" s="154">
        <f t="shared" si="25"/>
        <v>0</v>
      </c>
      <c r="S86" s="155">
        <f t="shared" si="26"/>
        <v>0</v>
      </c>
      <c r="T86" s="119">
        <f t="shared" si="27"/>
        <v>0</v>
      </c>
      <c r="U86" s="140" t="str">
        <f>IF(T86=1,IF(R86&gt;S86,I86&amp;VLOOKUP("win_suffix",langTable,MATCH(langName,_lang!$A$1:$F$1,0),FALSE()),IF(R86&lt;S86,J86&amp;VLOOKUP("win_suffix",langTable,MATCH(langName,_lang!$A$1:$F$1,0),FALSE()),IF(W86&lt;&gt;"",W86&amp;VLOOKUP("on_pens_suf",langTable,MATCH(langName,_lang!$A$1:$F$1,0),FALSE()),""))),"")</f>
        <v/>
      </c>
      <c r="V86" s="138" t="str">
        <f t="shared" si="32"/>
        <v>BBC / ITV (TBC)</v>
      </c>
      <c r="W86" s="261"/>
      <c r="X86" s="58">
        <v>46203.041666666657</v>
      </c>
      <c r="Y86" s="61" t="str">
        <f t="shared" si="33"/>
        <v/>
      </c>
      <c r="Z86" s="61" t="str">
        <f t="shared" si="34"/>
        <v/>
      </c>
      <c r="AA86" s="62">
        <f t="shared" ca="1" si="28"/>
        <v>76</v>
      </c>
      <c r="AB86" s="231"/>
      <c r="AC86" s="60" t="str">
        <f>IF(OR(AD86="",AE86="",LEFT(I86,3)="TBC",LEFT(J86,3)="TBC"),"",IFERROR(IF(COUNTIF(_h2h!$H$2:$H$94,AF86)=0,VLOOKUP("h2h_none",langTable,MATCH(langName,_lang!$A$1:$F$1,0),FALSE),IF(COUNTIF(_h2h!$H$2:$H$94,AF86)=1,"Met once · "&amp;INDEX(_h2h!$I$2:$I$94,MATCH(AF86,_h2h!$H$2:$H$94,0)),"Met "&amp;COUNTIF(_h2h!$H$2:$H$94,AF86)&amp;"× · last: "&amp;INDEX(_h2h!$I$2:$I$94,MATCH(AF86,_h2h!$H$2:$H$94,0)))),""))</f>
        <v/>
      </c>
      <c r="AD86" s="47" t="str">
        <f t="shared" si="29"/>
        <v/>
      </c>
      <c r="AE86" s="47" t="str">
        <f t="shared" si="30"/>
        <v/>
      </c>
      <c r="AF86" s="47" t="str">
        <f t="shared" si="31"/>
        <v/>
      </c>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row>
    <row r="87" spans="2:59" ht="15" customHeight="1">
      <c r="B87" s="57"/>
      <c r="C87" s="230"/>
      <c r="D87" s="112">
        <v>76</v>
      </c>
      <c r="E87" s="108" t="str">
        <f>DAY(X87+tzOffset/24)&amp;" "&amp;VLOOKUP("month_"&amp;MONTH(X87+tzOffset/24),langTable,MATCH(langName,_lang!$A$1:$F$1,0),FALSE())</f>
        <v>29 Jun</v>
      </c>
      <c r="F87" s="108" t="str">
        <f>VLOOKUP("dow_"&amp;IF(WEEKDAY(X87+tzOffset/24,2)=0,7,WEEKDAY(X87+tzOffset/24,2)),langTable,MATCH(langName,_lang!$A$1:$F$1,0),FALSE())</f>
        <v>Mon</v>
      </c>
      <c r="G87" s="108" t="str">
        <f t="shared" si="22"/>
        <v>18:00</v>
      </c>
      <c r="H87" s="112" t="s">
        <v>83</v>
      </c>
      <c r="I87" s="111" t="str">
        <f t="array" ref="I87">IFERROR(IF(OR(LEN(IFERROR(INDEX('Group Tables'!$AD$13:$AD$16,MATCH(1,'Group Tables'!$AP$13:$AP$16,0)),"1C"))&lt;5,LEFT(IFERROR(INDEX('Group Tables'!$AD$13:$AD$16,MATCH(1,'Group Tables'!$AP$13:$AP$16,0)),"1C"),3)="TBC"),"TBC",IFERROR(INDEX('Group Tables'!$AD$13:$AD$16,MATCH(1,'Group Tables'!$AP$13:$AP$16,0)),"1C")),"TBC")</f>
        <v>TBC</v>
      </c>
      <c r="J87" s="111" t="str">
        <f t="array" ref="J87">IFERROR(IF(OR(LEN(IFERROR(INDEX('Group Tables'!$AD$22:$AD$25,MATCH(2,'Group Tables'!$AP$22:$AP$25,0)),"2F"))&lt;5,LEFT(IFERROR(INDEX('Group Tables'!$AD$22:$AD$25,MATCH(2,'Group Tables'!$AP$22:$AP$25,0)),"2F"),3)="TBC"),"TBC",IFERROR(INDEX('Group Tables'!$AD$22:$AD$25,MATCH(2,'Group Tables'!$AP$22:$AP$25,0)),"2F")),"TBC")</f>
        <v>TBC</v>
      </c>
      <c r="K87" s="109" t="s">
        <v>38</v>
      </c>
      <c r="L87" s="109" t="str">
        <f t="shared" si="23"/>
        <v>Houston</v>
      </c>
      <c r="M87" s="110">
        <f t="shared" si="24"/>
        <v>72220</v>
      </c>
      <c r="N87" s="258"/>
      <c r="O87" s="259"/>
      <c r="P87" s="260"/>
      <c r="Q87" s="260"/>
      <c r="R87" s="154">
        <f t="shared" si="25"/>
        <v>0</v>
      </c>
      <c r="S87" s="155">
        <f t="shared" si="26"/>
        <v>0</v>
      </c>
      <c r="T87" s="119">
        <f t="shared" si="27"/>
        <v>0</v>
      </c>
      <c r="U87" s="140" t="str">
        <f>IF(T87=1,IF(R87&gt;S87,I87&amp;VLOOKUP("win_suffix",langTable,MATCH(langName,_lang!$A$1:$F$1,0),FALSE()),IF(R87&lt;S87,J87&amp;VLOOKUP("win_suffix",langTable,MATCH(langName,_lang!$A$1:$F$1,0),FALSE()),IF(W87&lt;&gt;"",W87&amp;VLOOKUP("on_pens_suf",langTable,MATCH(langName,_lang!$A$1:$F$1,0),FALSE()),""))),"")</f>
        <v/>
      </c>
      <c r="V87" s="138" t="str">
        <f t="shared" si="32"/>
        <v>BBC / ITV (TBC)</v>
      </c>
      <c r="W87" s="261"/>
      <c r="X87" s="58">
        <v>46202.708333333343</v>
      </c>
      <c r="Y87" s="61" t="str">
        <f t="shared" si="33"/>
        <v/>
      </c>
      <c r="Z87" s="61" t="str">
        <f t="shared" si="34"/>
        <v/>
      </c>
      <c r="AA87" s="62">
        <f t="shared" ca="1" si="28"/>
        <v>74</v>
      </c>
      <c r="AB87" s="231"/>
      <c r="AC87" s="60" t="str">
        <f>IF(OR(AD87="",AE87="",LEFT(I87,3)="TBC",LEFT(J87,3)="TBC"),"",IFERROR(IF(COUNTIF(_h2h!$H$2:$H$94,AF87)=0,VLOOKUP("h2h_none",langTable,MATCH(langName,_lang!$A$1:$F$1,0),FALSE),IF(COUNTIF(_h2h!$H$2:$H$94,AF87)=1,"Met once · "&amp;INDEX(_h2h!$I$2:$I$94,MATCH(AF87,_h2h!$H$2:$H$94,0)),"Met "&amp;COUNTIF(_h2h!$H$2:$H$94,AF87)&amp;"× · last: "&amp;INDEX(_h2h!$I$2:$I$94,MATCH(AF87,_h2h!$H$2:$H$94,0)))),""))</f>
        <v/>
      </c>
      <c r="AD87" s="47" t="str">
        <f t="shared" si="29"/>
        <v/>
      </c>
      <c r="AE87" s="47" t="str">
        <f t="shared" si="30"/>
        <v/>
      </c>
      <c r="AF87" s="47" t="str">
        <f t="shared" si="31"/>
        <v/>
      </c>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row>
    <row r="88" spans="2:59" ht="15" customHeight="1">
      <c r="B88" s="57"/>
      <c r="C88" s="230"/>
      <c r="D88" s="112">
        <v>77</v>
      </c>
      <c r="E88" s="108" t="str">
        <f>DAY(X88+tzOffset/24)&amp;" "&amp;VLOOKUP("month_"&amp;MONTH(X88+tzOffset/24),langTable,MATCH(langName,_lang!$A$1:$F$1,0),FALSE())</f>
        <v>30 Jun</v>
      </c>
      <c r="F88" s="108" t="str">
        <f>VLOOKUP("dow_"&amp;IF(WEEKDAY(X88+tzOffset/24,2)=0,7,WEEKDAY(X88+tzOffset/24,2)),langTable,MATCH(langName,_lang!$A$1:$F$1,0),FALSE())</f>
        <v>Tue</v>
      </c>
      <c r="G88" s="108" t="str">
        <f t="shared" si="22"/>
        <v>22:00</v>
      </c>
      <c r="H88" s="112" t="s">
        <v>83</v>
      </c>
      <c r="I88" s="111" t="str">
        <f t="array" ref="I88">IFERROR(IF(OR(LEN(IFERROR(INDEX('Group Tables'!$AD$31:$AD$34,MATCH(1,'Group Tables'!$AP$31:$AP$34,0)),"1I"))&lt;5,LEFT(IFERROR(INDEX('Group Tables'!$AD$31:$AD$34,MATCH(1,'Group Tables'!$AP$31:$AP$34,0)),"1I"),3)="TBC"),"TBC",IFERROR(INDEX('Group Tables'!$AD$31:$AD$34,MATCH(1,'Group Tables'!$AP$31:$AP$34,0)),"1I")),"TBC")</f>
        <v>TBC</v>
      </c>
      <c r="J88" s="111" t="str">
        <f>IFERROR(IF(OR(LEN('Group Tables'!$F$66)&lt;5,LEFT('Group Tables'!$F$66,3)="TBC"),"TBC",'Group Tables'!$F$66),"TBC")</f>
        <v>TBC</v>
      </c>
      <c r="K88" s="109" t="s">
        <v>28</v>
      </c>
      <c r="L88" s="109" t="str">
        <f t="shared" si="23"/>
        <v>East Rutherford (NY/NJ)</v>
      </c>
      <c r="M88" s="110">
        <f t="shared" si="24"/>
        <v>82500</v>
      </c>
      <c r="N88" s="258"/>
      <c r="O88" s="259"/>
      <c r="P88" s="260"/>
      <c r="Q88" s="260"/>
      <c r="R88" s="154">
        <f t="shared" si="25"/>
        <v>0</v>
      </c>
      <c r="S88" s="155">
        <f t="shared" si="26"/>
        <v>0</v>
      </c>
      <c r="T88" s="119">
        <f t="shared" si="27"/>
        <v>0</v>
      </c>
      <c r="U88" s="140" t="str">
        <f>IF(T88=1,IF(R88&gt;S88,I88&amp;VLOOKUP("win_suffix",langTable,MATCH(langName,_lang!$A$1:$F$1,0),FALSE()),IF(R88&lt;S88,J88&amp;VLOOKUP("win_suffix",langTable,MATCH(langName,_lang!$A$1:$F$1,0),FALSE()),IF(W88&lt;&gt;"",W88&amp;VLOOKUP("on_pens_suf",langTable,MATCH(langName,_lang!$A$1:$F$1,0),FALSE()),""))),"")</f>
        <v/>
      </c>
      <c r="V88" s="138" t="str">
        <f t="shared" si="32"/>
        <v>BBC / ITV (TBC)</v>
      </c>
      <c r="W88" s="261"/>
      <c r="X88" s="58">
        <v>46203.875</v>
      </c>
      <c r="Y88" s="61" t="str">
        <f t="shared" si="33"/>
        <v/>
      </c>
      <c r="Z88" s="61" t="str">
        <f t="shared" si="34"/>
        <v/>
      </c>
      <c r="AA88" s="62">
        <f t="shared" ca="1" si="28"/>
        <v>78</v>
      </c>
      <c r="AB88" s="231"/>
      <c r="AC88" s="60" t="str">
        <f>IF(OR(AD88="",AE88="",LEFT(I88,3)="TBC",LEFT(J88,3)="TBC"),"",IFERROR(IF(COUNTIF(_h2h!$H$2:$H$94,AF88)=0,VLOOKUP("h2h_none",langTable,MATCH(langName,_lang!$A$1:$F$1,0),FALSE),IF(COUNTIF(_h2h!$H$2:$H$94,AF88)=1,"Met once · "&amp;INDEX(_h2h!$I$2:$I$94,MATCH(AF88,_h2h!$H$2:$H$94,0)),"Met "&amp;COUNTIF(_h2h!$H$2:$H$94,AF88)&amp;"× · last: "&amp;INDEX(_h2h!$I$2:$I$94,MATCH(AF88,_h2h!$H$2:$H$94,0)))),""))</f>
        <v/>
      </c>
      <c r="AD88" s="47" t="str">
        <f t="shared" si="29"/>
        <v/>
      </c>
      <c r="AE88" s="47" t="str">
        <f t="shared" si="30"/>
        <v/>
      </c>
      <c r="AF88" s="47" t="str">
        <f t="shared" si="31"/>
        <v/>
      </c>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row>
    <row r="89" spans="2:59" ht="15" customHeight="1">
      <c r="B89" s="57"/>
      <c r="C89" s="230"/>
      <c r="D89" s="112">
        <v>78</v>
      </c>
      <c r="E89" s="108" t="str">
        <f>DAY(X89+tzOffset/24)&amp;" "&amp;VLOOKUP("month_"&amp;MONTH(X89+tzOffset/24),langTable,MATCH(langName,_lang!$A$1:$F$1,0),FALSE())</f>
        <v>30 Jun</v>
      </c>
      <c r="F89" s="108" t="str">
        <f>VLOOKUP("dow_"&amp;IF(WEEKDAY(X89+tzOffset/24,2)=0,7,WEEKDAY(X89+tzOffset/24,2)),langTable,MATCH(langName,_lang!$A$1:$F$1,0),FALSE())</f>
        <v>Tue</v>
      </c>
      <c r="G89" s="108" t="str">
        <f t="shared" si="22"/>
        <v>18:00</v>
      </c>
      <c r="H89" s="112" t="s">
        <v>83</v>
      </c>
      <c r="I89" s="111" t="str">
        <f t="array" ref="I89">IFERROR(IF(OR(LEN(IFERROR(INDEX('Group Tables'!$Q$22:$Q$25,MATCH(2,'Group Tables'!$AC$22:$AC$25,0)),"2E"))&lt;5,LEFT(IFERROR(INDEX('Group Tables'!$Q$22:$Q$25,MATCH(2,'Group Tables'!$AC$22:$AC$25,0)),"2E"),3)="TBC"),"TBC",IFERROR(INDEX('Group Tables'!$Q$22:$Q$25,MATCH(2,'Group Tables'!$AC$22:$AC$25,0)),"2E")),"TBC")</f>
        <v>TBC</v>
      </c>
      <c r="J89" s="111" t="str">
        <f t="array" ref="J89">IFERROR(IF(OR(LEN(IFERROR(INDEX('Group Tables'!$AD$31:$AD$34,MATCH(2,'Group Tables'!$AP$31:$AP$34,0)),"2I"))&lt;5,LEFT(IFERROR(INDEX('Group Tables'!$AD$31:$AD$34,MATCH(2,'Group Tables'!$AP$31:$AP$34,0)),"2I"),3)="TBC"),"TBC",IFERROR(INDEX('Group Tables'!$AD$31:$AD$34,MATCH(2,'Group Tables'!$AP$31:$AP$34,0)),"2I")),"TBC")</f>
        <v>TBC</v>
      </c>
      <c r="K89" s="109" t="s">
        <v>42</v>
      </c>
      <c r="L89" s="109" t="str">
        <f t="shared" si="23"/>
        <v>Arlington (Dallas)</v>
      </c>
      <c r="M89" s="110">
        <f t="shared" si="24"/>
        <v>92967</v>
      </c>
      <c r="N89" s="258"/>
      <c r="O89" s="259"/>
      <c r="P89" s="260"/>
      <c r="Q89" s="260"/>
      <c r="R89" s="154">
        <f t="shared" si="25"/>
        <v>0</v>
      </c>
      <c r="S89" s="155">
        <f t="shared" si="26"/>
        <v>0</v>
      </c>
      <c r="T89" s="119">
        <f t="shared" si="27"/>
        <v>0</v>
      </c>
      <c r="U89" s="140" t="str">
        <f>IF(T89=1,IF(R89&gt;S89,I89&amp;VLOOKUP("win_suffix",langTable,MATCH(langName,_lang!$A$1:$F$1,0),FALSE()),IF(R89&lt;S89,J89&amp;VLOOKUP("win_suffix",langTable,MATCH(langName,_lang!$A$1:$F$1,0),FALSE()),IF(W89&lt;&gt;"",W89&amp;VLOOKUP("on_pens_suf",langTable,MATCH(langName,_lang!$A$1:$F$1,0),FALSE()),""))),"")</f>
        <v/>
      </c>
      <c r="V89" s="138" t="str">
        <f t="shared" si="32"/>
        <v>BBC / ITV (TBC)</v>
      </c>
      <c r="W89" s="261"/>
      <c r="X89" s="58">
        <v>46203.708333333343</v>
      </c>
      <c r="Y89" s="61" t="str">
        <f t="shared" si="33"/>
        <v/>
      </c>
      <c r="Z89" s="61" t="str">
        <f t="shared" si="34"/>
        <v/>
      </c>
      <c r="AA89" s="62">
        <f t="shared" ca="1" si="28"/>
        <v>77</v>
      </c>
      <c r="AB89" s="231"/>
      <c r="AC89" s="60" t="str">
        <f>IF(OR(AD89="",AE89="",LEFT(I89,3)="TBC",LEFT(J89,3)="TBC"),"",IFERROR(IF(COUNTIF(_h2h!$H$2:$H$94,AF89)=0,VLOOKUP("h2h_none",langTable,MATCH(langName,_lang!$A$1:$F$1,0),FALSE),IF(COUNTIF(_h2h!$H$2:$H$94,AF89)=1,"Met once · "&amp;INDEX(_h2h!$I$2:$I$94,MATCH(AF89,_h2h!$H$2:$H$94,0)),"Met "&amp;COUNTIF(_h2h!$H$2:$H$94,AF89)&amp;"× · last: "&amp;INDEX(_h2h!$I$2:$I$94,MATCH(AF89,_h2h!$H$2:$H$94,0)))),""))</f>
        <v/>
      </c>
      <c r="AD89" s="47" t="str">
        <f t="shared" si="29"/>
        <v/>
      </c>
      <c r="AE89" s="47" t="str">
        <f t="shared" si="30"/>
        <v/>
      </c>
      <c r="AF89" s="47" t="str">
        <f t="shared" si="31"/>
        <v/>
      </c>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row>
    <row r="90" spans="2:59" ht="15" customHeight="1">
      <c r="B90" s="57"/>
      <c r="C90" s="230"/>
      <c r="D90" s="112">
        <v>79</v>
      </c>
      <c r="E90" s="108" t="str">
        <f>DAY(X90+tzOffset/24)&amp;" "&amp;VLOOKUP("month_"&amp;MONTH(X90+tzOffset/24),langTable,MATCH(langName,_lang!$A$1:$F$1,0),FALSE())</f>
        <v>1 Jul</v>
      </c>
      <c r="F90" s="108" t="str">
        <f>VLOOKUP("dow_"&amp;IF(WEEKDAY(X90+tzOffset/24,2)=0,7,WEEKDAY(X90+tzOffset/24,2)),langTable,MATCH(langName,_lang!$A$1:$F$1,0),FALSE())</f>
        <v>Wed</v>
      </c>
      <c r="G90" s="108" t="str">
        <f t="shared" si="22"/>
        <v>02:00</v>
      </c>
      <c r="H90" s="112" t="s">
        <v>83</v>
      </c>
      <c r="I90" s="111" t="str">
        <f t="array" ref="I90">IFERROR(IF(OR(LEN(IFERROR(INDEX('Group Tables'!$D$13:$D$16,MATCH(1,'Group Tables'!$P$13:$P$16,0)),"1A"))&lt;5,LEFT(IFERROR(INDEX('Group Tables'!$D$13:$D$16,MATCH(1,'Group Tables'!$P$13:$P$16,0)),"1A"),3)="TBC"),"TBC",IFERROR(INDEX('Group Tables'!$D$13:$D$16,MATCH(1,'Group Tables'!$P$13:$P$16,0)),"1A")),"TBC")</f>
        <v>TBC</v>
      </c>
      <c r="J90" s="111" t="str">
        <f>IFERROR(IF(OR(LEN('Group Tables'!$F$67)&lt;5,LEFT('Group Tables'!$F$67,3)="TBC"),"TBC",'Group Tables'!$F$67),"TBC")</f>
        <v>TBC</v>
      </c>
      <c r="K90" s="109" t="s">
        <v>10</v>
      </c>
      <c r="L90" s="109" t="str">
        <f t="shared" si="23"/>
        <v>Mexico City</v>
      </c>
      <c r="M90" s="110">
        <f t="shared" si="24"/>
        <v>87000</v>
      </c>
      <c r="N90" s="258"/>
      <c r="O90" s="259"/>
      <c r="P90" s="260"/>
      <c r="Q90" s="260"/>
      <c r="R90" s="154">
        <f t="shared" si="25"/>
        <v>0</v>
      </c>
      <c r="S90" s="155">
        <f t="shared" si="26"/>
        <v>0</v>
      </c>
      <c r="T90" s="119">
        <f t="shared" si="27"/>
        <v>0</v>
      </c>
      <c r="U90" s="140" t="str">
        <f>IF(T90=1,IF(R90&gt;S90,I90&amp;VLOOKUP("win_suffix",langTable,MATCH(langName,_lang!$A$1:$F$1,0),FALSE()),IF(R90&lt;S90,J90&amp;VLOOKUP("win_suffix",langTable,MATCH(langName,_lang!$A$1:$F$1,0),FALSE()),IF(W90&lt;&gt;"",W90&amp;VLOOKUP("on_pens_suf",langTable,MATCH(langName,_lang!$A$1:$F$1,0),FALSE()),""))),"")</f>
        <v/>
      </c>
      <c r="V90" s="138" t="str">
        <f t="shared" si="32"/>
        <v>BBC / ITV (TBC)</v>
      </c>
      <c r="W90" s="261"/>
      <c r="X90" s="58">
        <v>46204.041666666657</v>
      </c>
      <c r="Y90" s="61" t="str">
        <f t="shared" si="33"/>
        <v/>
      </c>
      <c r="Z90" s="61" t="str">
        <f t="shared" si="34"/>
        <v/>
      </c>
      <c r="AA90" s="62">
        <f t="shared" ca="1" si="28"/>
        <v>79</v>
      </c>
      <c r="AB90" s="231"/>
      <c r="AC90" s="60" t="str">
        <f>IF(OR(AD90="",AE90="",LEFT(I90,3)="TBC",LEFT(J90,3)="TBC"),"",IFERROR(IF(COUNTIF(_h2h!$H$2:$H$94,AF90)=0,VLOOKUP("h2h_none",langTable,MATCH(langName,_lang!$A$1:$F$1,0),FALSE),IF(COUNTIF(_h2h!$H$2:$H$94,AF90)=1,"Met once · "&amp;INDEX(_h2h!$I$2:$I$94,MATCH(AF90,_h2h!$H$2:$H$94,0)),"Met "&amp;COUNTIF(_h2h!$H$2:$H$94,AF90)&amp;"× · last: "&amp;INDEX(_h2h!$I$2:$I$94,MATCH(AF90,_h2h!$H$2:$H$94,0)))),""))</f>
        <v/>
      </c>
      <c r="AD90" s="47" t="str">
        <f t="shared" si="29"/>
        <v/>
      </c>
      <c r="AE90" s="47" t="str">
        <f t="shared" si="30"/>
        <v/>
      </c>
      <c r="AF90" s="47" t="str">
        <f t="shared" si="31"/>
        <v/>
      </c>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row>
    <row r="91" spans="2:59" ht="15" customHeight="1">
      <c r="B91" s="57"/>
      <c r="C91" s="230"/>
      <c r="D91" s="112">
        <v>80</v>
      </c>
      <c r="E91" s="108" t="str">
        <f>DAY(X91+tzOffset/24)&amp;" "&amp;VLOOKUP("month_"&amp;MONTH(X91+tzOffset/24),langTable,MATCH(langName,_lang!$A$1:$F$1,0),FALSE())</f>
        <v>1 Jul</v>
      </c>
      <c r="F91" s="108" t="str">
        <f>VLOOKUP("dow_"&amp;IF(WEEKDAY(X91+tzOffset/24,2)=0,7,WEEKDAY(X91+tzOffset/24,2)),langTable,MATCH(langName,_lang!$A$1:$F$1,0),FALSE())</f>
        <v>Wed</v>
      </c>
      <c r="G91" s="108" t="str">
        <f t="shared" si="22"/>
        <v>17:00</v>
      </c>
      <c r="H91" s="112" t="s">
        <v>83</v>
      </c>
      <c r="I91" s="111" t="str">
        <f t="array" ref="I91">IFERROR(IF(OR(LEN(IFERROR(INDEX('Group Tables'!$AD$40:$AD$43,MATCH(1,'Group Tables'!$AP$40:$AP$43,0)),"1L"))&lt;5,LEFT(IFERROR(INDEX('Group Tables'!$AD$40:$AD$43,MATCH(1,'Group Tables'!$AP$40:$AP$43,0)),"1L"),3)="TBC"),"TBC",IFERROR(INDEX('Group Tables'!$AD$40:$AD$43,MATCH(1,'Group Tables'!$AP$40:$AP$43,0)),"1L")),"TBC")</f>
        <v>TBC</v>
      </c>
      <c r="J91" s="111" t="str">
        <f>IFERROR(IF(OR(LEN('Group Tables'!$F$68)&lt;5,LEFT('Group Tables'!$F$68,3)="TBC"),"TBC",'Group Tables'!$F$68),"TBC")</f>
        <v>TBC</v>
      </c>
      <c r="K91" s="109" t="s">
        <v>52</v>
      </c>
      <c r="L91" s="109" t="str">
        <f t="shared" si="23"/>
        <v>Atlanta</v>
      </c>
      <c r="M91" s="110">
        <f t="shared" si="24"/>
        <v>71000</v>
      </c>
      <c r="N91" s="258"/>
      <c r="O91" s="259"/>
      <c r="P91" s="260"/>
      <c r="Q91" s="260"/>
      <c r="R91" s="154">
        <f t="shared" si="25"/>
        <v>0</v>
      </c>
      <c r="S91" s="155">
        <f t="shared" si="26"/>
        <v>0</v>
      </c>
      <c r="T91" s="119">
        <f t="shared" si="27"/>
        <v>0</v>
      </c>
      <c r="U91" s="140" t="str">
        <f>IF(T91=1,IF(R91&gt;S91,I91&amp;VLOOKUP("win_suffix",langTable,MATCH(langName,_lang!$A$1:$F$1,0),FALSE()),IF(R91&lt;S91,J91&amp;VLOOKUP("win_suffix",langTable,MATCH(langName,_lang!$A$1:$F$1,0),FALSE()),IF(W91&lt;&gt;"",W91&amp;VLOOKUP("on_pens_suf",langTable,MATCH(langName,_lang!$A$1:$F$1,0),FALSE()),""))),"")</f>
        <v/>
      </c>
      <c r="V91" s="138" t="str">
        <f t="shared" si="32"/>
        <v>BBC / ITV (TBC)</v>
      </c>
      <c r="W91" s="261"/>
      <c r="X91" s="58">
        <v>46204.666666666657</v>
      </c>
      <c r="Y91" s="61" t="str">
        <f t="shared" si="33"/>
        <v/>
      </c>
      <c r="Z91" s="61" t="str">
        <f t="shared" si="34"/>
        <v/>
      </c>
      <c r="AA91" s="62">
        <f t="shared" ca="1" si="28"/>
        <v>80</v>
      </c>
      <c r="AB91" s="231"/>
      <c r="AC91" s="60" t="str">
        <f>IF(OR(AD91="",AE91="",LEFT(I91,3)="TBC",LEFT(J91,3)="TBC"),"",IFERROR(IF(COUNTIF(_h2h!$H$2:$H$94,AF91)=0,VLOOKUP("h2h_none",langTable,MATCH(langName,_lang!$A$1:$F$1,0),FALSE),IF(COUNTIF(_h2h!$H$2:$H$94,AF91)=1,"Met once · "&amp;INDEX(_h2h!$I$2:$I$94,MATCH(AF91,_h2h!$H$2:$H$94,0)),"Met "&amp;COUNTIF(_h2h!$H$2:$H$94,AF91)&amp;"× · last: "&amp;INDEX(_h2h!$I$2:$I$94,MATCH(AF91,_h2h!$H$2:$H$94,0)))),""))</f>
        <v/>
      </c>
      <c r="AD91" s="47" t="str">
        <f t="shared" si="29"/>
        <v/>
      </c>
      <c r="AE91" s="47" t="str">
        <f t="shared" si="30"/>
        <v/>
      </c>
      <c r="AF91" s="47" t="str">
        <f t="shared" si="31"/>
        <v/>
      </c>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row>
    <row r="92" spans="2:59" ht="15" customHeight="1">
      <c r="B92" s="57"/>
      <c r="C92" s="230"/>
      <c r="D92" s="112">
        <v>81</v>
      </c>
      <c r="E92" s="108" t="str">
        <f>DAY(X92+tzOffset/24)&amp;" "&amp;VLOOKUP("month_"&amp;MONTH(X92+tzOffset/24),langTable,MATCH(langName,_lang!$A$1:$F$1,0),FALSE())</f>
        <v>2 Jul</v>
      </c>
      <c r="F92" s="108" t="str">
        <f>VLOOKUP("dow_"&amp;IF(WEEKDAY(X92+tzOffset/24,2)=0,7,WEEKDAY(X92+tzOffset/24,2)),langTable,MATCH(langName,_lang!$A$1:$F$1,0),FALSE())</f>
        <v>Thu</v>
      </c>
      <c r="G92" s="108" t="str">
        <f t="shared" si="22"/>
        <v>01:00</v>
      </c>
      <c r="H92" s="112" t="s">
        <v>83</v>
      </c>
      <c r="I92" s="111" t="str">
        <f t="array" ref="I92">IFERROR(IF(OR(LEN(IFERROR(INDEX('Group Tables'!$D$22:$D$25,MATCH(1,'Group Tables'!$P$22:$P$25,0)),"1D"))&lt;5,LEFT(IFERROR(INDEX('Group Tables'!$D$22:$D$25,MATCH(1,'Group Tables'!$P$22:$P$25,0)),"1D"),3)="TBC"),"TBC",IFERROR(INDEX('Group Tables'!$D$22:$D$25,MATCH(1,'Group Tables'!$P$22:$P$25,0)),"1D")),"TBC")</f>
        <v>TBC</v>
      </c>
      <c r="J92" s="111" t="str">
        <f>IFERROR(IF(OR(LEN('Group Tables'!$F$69)&lt;5,LEFT('Group Tables'!$F$69,3)="TBC"),"TBC",'Group Tables'!$F$69),"TBC")</f>
        <v>TBC</v>
      </c>
      <c r="K92" s="109" t="s">
        <v>24</v>
      </c>
      <c r="L92" s="109" t="str">
        <f t="shared" si="23"/>
        <v>Santa Clara (SF Bay Area)</v>
      </c>
      <c r="M92" s="110">
        <f t="shared" si="24"/>
        <v>70909</v>
      </c>
      <c r="N92" s="258"/>
      <c r="O92" s="259"/>
      <c r="P92" s="260"/>
      <c r="Q92" s="260"/>
      <c r="R92" s="154">
        <f t="shared" si="25"/>
        <v>0</v>
      </c>
      <c r="S92" s="155">
        <f t="shared" si="26"/>
        <v>0</v>
      </c>
      <c r="T92" s="119">
        <f t="shared" si="27"/>
        <v>0</v>
      </c>
      <c r="U92" s="140" t="str">
        <f>IF(T92=1,IF(R92&gt;S92,I92&amp;VLOOKUP("win_suffix",langTable,MATCH(langName,_lang!$A$1:$F$1,0),FALSE()),IF(R92&lt;S92,J92&amp;VLOOKUP("win_suffix",langTable,MATCH(langName,_lang!$A$1:$F$1,0),FALSE()),IF(W92&lt;&gt;"",W92&amp;VLOOKUP("on_pens_suf",langTable,MATCH(langName,_lang!$A$1:$F$1,0),FALSE()),""))),"")</f>
        <v/>
      </c>
      <c r="V92" s="138" t="str">
        <f t="shared" si="32"/>
        <v>BBC / ITV (TBC)</v>
      </c>
      <c r="W92" s="261"/>
      <c r="X92" s="58">
        <v>46205</v>
      </c>
      <c r="Y92" s="61" t="str">
        <f t="shared" si="33"/>
        <v/>
      </c>
      <c r="Z92" s="61" t="str">
        <f t="shared" si="34"/>
        <v/>
      </c>
      <c r="AA92" s="62">
        <f t="shared" ca="1" si="28"/>
        <v>82</v>
      </c>
      <c r="AB92" s="231"/>
      <c r="AC92" s="60" t="str">
        <f>IF(OR(AD92="",AE92="",LEFT(I92,3)="TBC",LEFT(J92,3)="TBC"),"",IFERROR(IF(COUNTIF(_h2h!$H$2:$H$94,AF92)=0,VLOOKUP("h2h_none",langTable,MATCH(langName,_lang!$A$1:$F$1,0),FALSE),IF(COUNTIF(_h2h!$H$2:$H$94,AF92)=1,"Met once · "&amp;INDEX(_h2h!$I$2:$I$94,MATCH(AF92,_h2h!$H$2:$H$94,0)),"Met "&amp;COUNTIF(_h2h!$H$2:$H$94,AF92)&amp;"× · last: "&amp;INDEX(_h2h!$I$2:$I$94,MATCH(AF92,_h2h!$H$2:$H$94,0)))),""))</f>
        <v/>
      </c>
      <c r="AD92" s="47" t="str">
        <f t="shared" si="29"/>
        <v/>
      </c>
      <c r="AE92" s="47" t="str">
        <f t="shared" si="30"/>
        <v/>
      </c>
      <c r="AF92" s="47" t="str">
        <f t="shared" si="31"/>
        <v/>
      </c>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row>
    <row r="93" spans="2:59" ht="15" customHeight="1">
      <c r="B93" s="57"/>
      <c r="C93" s="230"/>
      <c r="D93" s="112">
        <v>82</v>
      </c>
      <c r="E93" s="108" t="str">
        <f>DAY(X93+tzOffset/24)&amp;" "&amp;VLOOKUP("month_"&amp;MONTH(X93+tzOffset/24),langTable,MATCH(langName,_lang!$A$1:$F$1,0),FALSE())</f>
        <v>1 Jul</v>
      </c>
      <c r="F93" s="108" t="str">
        <f>VLOOKUP("dow_"&amp;IF(WEEKDAY(X93+tzOffset/24,2)=0,7,WEEKDAY(X93+tzOffset/24,2)),langTable,MATCH(langName,_lang!$A$1:$F$1,0),FALSE())</f>
        <v>Wed</v>
      </c>
      <c r="G93" s="108" t="str">
        <f t="shared" si="22"/>
        <v>21:00</v>
      </c>
      <c r="H93" s="112" t="s">
        <v>83</v>
      </c>
      <c r="I93" s="111" t="str">
        <f t="array" ref="I93">IFERROR(IF(OR(LEN(IFERROR(INDEX('Group Tables'!$D$31:$D$34,MATCH(1,'Group Tables'!$P$31:$P$34,0)),"1G"))&lt;5,LEFT(IFERROR(INDEX('Group Tables'!$D$31:$D$34,MATCH(1,'Group Tables'!$P$31:$P$34,0)),"1G"),3)="TBC"),"TBC",IFERROR(INDEX('Group Tables'!$D$31:$D$34,MATCH(1,'Group Tables'!$P$31:$P$34,0)),"1G")),"TBC")</f>
        <v>TBC</v>
      </c>
      <c r="J93" s="111" t="str">
        <f>IFERROR(IF(OR(LEN('Group Tables'!$F$70)&lt;5,LEFT('Group Tables'!$F$70,3)="TBC"),"TBC",'Group Tables'!$F$70),"TBC")</f>
        <v>TBC</v>
      </c>
      <c r="K93" s="109" t="s">
        <v>56</v>
      </c>
      <c r="L93" s="109" t="str">
        <f t="shared" si="23"/>
        <v>Seattle</v>
      </c>
      <c r="M93" s="110">
        <f t="shared" si="24"/>
        <v>68740</v>
      </c>
      <c r="N93" s="258"/>
      <c r="O93" s="259"/>
      <c r="P93" s="260"/>
      <c r="Q93" s="260"/>
      <c r="R93" s="154">
        <f t="shared" si="25"/>
        <v>0</v>
      </c>
      <c r="S93" s="155">
        <f t="shared" si="26"/>
        <v>0</v>
      </c>
      <c r="T93" s="119">
        <f t="shared" si="27"/>
        <v>0</v>
      </c>
      <c r="U93" s="140" t="str">
        <f>IF(T93=1,IF(R93&gt;S93,I93&amp;VLOOKUP("win_suffix",langTable,MATCH(langName,_lang!$A$1:$F$1,0),FALSE()),IF(R93&lt;S93,J93&amp;VLOOKUP("win_suffix",langTable,MATCH(langName,_lang!$A$1:$F$1,0),FALSE()),IF(W93&lt;&gt;"",W93&amp;VLOOKUP("on_pens_suf",langTable,MATCH(langName,_lang!$A$1:$F$1,0),FALSE()),""))),"")</f>
        <v/>
      </c>
      <c r="V93" s="138" t="str">
        <f t="shared" si="32"/>
        <v>BBC / ITV (TBC)</v>
      </c>
      <c r="W93" s="261"/>
      <c r="X93" s="58">
        <v>46204.833333333343</v>
      </c>
      <c r="Y93" s="61" t="str">
        <f t="shared" si="33"/>
        <v/>
      </c>
      <c r="Z93" s="61" t="str">
        <f t="shared" si="34"/>
        <v/>
      </c>
      <c r="AA93" s="62">
        <f t="shared" ca="1" si="28"/>
        <v>81</v>
      </c>
      <c r="AB93" s="231"/>
      <c r="AC93" s="60" t="str">
        <f>IF(OR(AD93="",AE93="",LEFT(I93,3)="TBC",LEFT(J93,3)="TBC"),"",IFERROR(IF(COUNTIF(_h2h!$H$2:$H$94,AF93)=0,VLOOKUP("h2h_none",langTable,MATCH(langName,_lang!$A$1:$F$1,0),FALSE),IF(COUNTIF(_h2h!$H$2:$H$94,AF93)=1,"Met once · "&amp;INDEX(_h2h!$I$2:$I$94,MATCH(AF93,_h2h!$H$2:$H$94,0)),"Met "&amp;COUNTIF(_h2h!$H$2:$H$94,AF93)&amp;"× · last: "&amp;INDEX(_h2h!$I$2:$I$94,MATCH(AF93,_h2h!$H$2:$H$94,0)))),""))</f>
        <v/>
      </c>
      <c r="AD93" s="47" t="str">
        <f t="shared" si="29"/>
        <v/>
      </c>
      <c r="AE93" s="47" t="str">
        <f t="shared" si="30"/>
        <v/>
      </c>
      <c r="AF93" s="47" t="str">
        <f t="shared" si="31"/>
        <v/>
      </c>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row>
    <row r="94" spans="2:59" ht="15" customHeight="1">
      <c r="B94" s="57"/>
      <c r="C94" s="230"/>
      <c r="D94" s="112">
        <v>83</v>
      </c>
      <c r="E94" s="108" t="str">
        <f>DAY(X94+tzOffset/24)&amp;" "&amp;VLOOKUP("month_"&amp;MONTH(X94+tzOffset/24),langTable,MATCH(langName,_lang!$A$1:$F$1,0),FALSE())</f>
        <v>3 Jul</v>
      </c>
      <c r="F94" s="108" t="str">
        <f>VLOOKUP("dow_"&amp;IF(WEEKDAY(X94+tzOffset/24,2)=0,7,WEEKDAY(X94+tzOffset/24,2)),langTable,MATCH(langName,_lang!$A$1:$F$1,0),FALSE())</f>
        <v>Fri</v>
      </c>
      <c r="G94" s="108" t="str">
        <f t="shared" si="22"/>
        <v>00:00</v>
      </c>
      <c r="H94" s="112" t="s">
        <v>83</v>
      </c>
      <c r="I94" s="111" t="str">
        <f t="array" ref="I94">IFERROR(IF(OR(LEN(IFERROR(INDEX('Group Tables'!$Q$40:$Q$43,MATCH(2,'Group Tables'!$AC$40:$AC$43,0)),"2K"))&lt;5,LEFT(IFERROR(INDEX('Group Tables'!$Q$40:$Q$43,MATCH(2,'Group Tables'!$AC$40:$AC$43,0)),"2K"),3)="TBC"),"TBC",IFERROR(INDEX('Group Tables'!$Q$40:$Q$43,MATCH(2,'Group Tables'!$AC$40:$AC$43,0)),"2K")),"TBC")</f>
        <v>TBC</v>
      </c>
      <c r="J94" s="111" t="str">
        <f t="array" ref="J94">IFERROR(IF(OR(LEN(IFERROR(INDEX('Group Tables'!$AD$40:$AD$43,MATCH(2,'Group Tables'!$AP$40:$AP$43,0)),"2L"))&lt;5,LEFT(IFERROR(INDEX('Group Tables'!$AD$40:$AD$43,MATCH(2,'Group Tables'!$AP$40:$AP$43,0)),"2L"),3)="TBC"),"TBC",IFERROR(INDEX('Group Tables'!$AD$40:$AD$43,MATCH(2,'Group Tables'!$AP$40:$AP$43,0)),"2L")),"TBC")</f>
        <v>TBC</v>
      </c>
      <c r="K94" s="109" t="s">
        <v>17</v>
      </c>
      <c r="L94" s="109" t="str">
        <f t="shared" si="23"/>
        <v>Toronto</v>
      </c>
      <c r="M94" s="110">
        <f t="shared" si="24"/>
        <v>45736</v>
      </c>
      <c r="N94" s="258"/>
      <c r="O94" s="259"/>
      <c r="P94" s="260"/>
      <c r="Q94" s="260"/>
      <c r="R94" s="154">
        <f t="shared" si="25"/>
        <v>0</v>
      </c>
      <c r="S94" s="155">
        <f t="shared" si="26"/>
        <v>0</v>
      </c>
      <c r="T94" s="119">
        <f t="shared" si="27"/>
        <v>0</v>
      </c>
      <c r="U94" s="140" t="str">
        <f>IF(T94=1,IF(R94&gt;S94,I94&amp;VLOOKUP("win_suffix",langTable,MATCH(langName,_lang!$A$1:$F$1,0),FALSE()),IF(R94&lt;S94,J94&amp;VLOOKUP("win_suffix",langTable,MATCH(langName,_lang!$A$1:$F$1,0),FALSE()),IF(W94&lt;&gt;"",W94&amp;VLOOKUP("on_pens_suf",langTable,MATCH(langName,_lang!$A$1:$F$1,0),FALSE()),""))),"")</f>
        <v/>
      </c>
      <c r="V94" s="138" t="str">
        <f t="shared" si="32"/>
        <v>BBC / ITV (TBC)</v>
      </c>
      <c r="W94" s="261"/>
      <c r="X94" s="58">
        <v>46205.958333333343</v>
      </c>
      <c r="Y94" s="61" t="str">
        <f t="shared" si="33"/>
        <v/>
      </c>
      <c r="Z94" s="61" t="str">
        <f t="shared" si="34"/>
        <v/>
      </c>
      <c r="AA94" s="62">
        <f t="shared" ca="1" si="28"/>
        <v>84</v>
      </c>
      <c r="AB94" s="231"/>
      <c r="AC94" s="60" t="str">
        <f>IF(OR(AD94="",AE94="",LEFT(I94,3)="TBC",LEFT(J94,3)="TBC"),"",IFERROR(IF(COUNTIF(_h2h!$H$2:$H$94,AF94)=0,VLOOKUP("h2h_none",langTable,MATCH(langName,_lang!$A$1:$F$1,0),FALSE),IF(COUNTIF(_h2h!$H$2:$H$94,AF94)=1,"Met once · "&amp;INDEX(_h2h!$I$2:$I$94,MATCH(AF94,_h2h!$H$2:$H$94,0)),"Met "&amp;COUNTIF(_h2h!$H$2:$H$94,AF94)&amp;"× · last: "&amp;INDEX(_h2h!$I$2:$I$94,MATCH(AF94,_h2h!$H$2:$H$94,0)))),""))</f>
        <v/>
      </c>
      <c r="AD94" s="47" t="str">
        <f t="shared" si="29"/>
        <v/>
      </c>
      <c r="AE94" s="47" t="str">
        <f t="shared" si="30"/>
        <v/>
      </c>
      <c r="AF94" s="47" t="str">
        <f t="shared" si="31"/>
        <v/>
      </c>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row>
    <row r="95" spans="2:59" ht="15" customHeight="1">
      <c r="B95" s="57"/>
      <c r="C95" s="230"/>
      <c r="D95" s="112">
        <v>84</v>
      </c>
      <c r="E95" s="108" t="str">
        <f>DAY(X95+tzOffset/24)&amp;" "&amp;VLOOKUP("month_"&amp;MONTH(X95+tzOffset/24),langTable,MATCH(langName,_lang!$A$1:$F$1,0),FALSE())</f>
        <v>2 Jul</v>
      </c>
      <c r="F95" s="108" t="str">
        <f>VLOOKUP("dow_"&amp;IF(WEEKDAY(X95+tzOffset/24,2)=0,7,WEEKDAY(X95+tzOffset/24,2)),langTable,MATCH(langName,_lang!$A$1:$F$1,0),FALSE())</f>
        <v>Thu</v>
      </c>
      <c r="G95" s="108" t="str">
        <f t="shared" si="22"/>
        <v>20:00</v>
      </c>
      <c r="H95" s="112" t="s">
        <v>83</v>
      </c>
      <c r="I95" s="111" t="str">
        <f t="array" ref="I95">IFERROR(IF(OR(LEN(IFERROR(INDEX('Group Tables'!$Q$31:$Q$34,MATCH(1,'Group Tables'!$AC$31:$AC$34,0)),"1H"))&lt;5,LEFT(IFERROR(INDEX('Group Tables'!$Q$31:$Q$34,MATCH(1,'Group Tables'!$AC$31:$AC$34,0)),"1H"),3)="TBC"),"TBC",IFERROR(INDEX('Group Tables'!$Q$31:$Q$34,MATCH(1,'Group Tables'!$AC$31:$AC$34,0)),"1H")),"TBC")</f>
        <v>TBC</v>
      </c>
      <c r="J95" s="111" t="str">
        <f t="array" ref="J95">IFERROR(IF(OR(LEN(IFERROR(INDEX('Group Tables'!$D$40:$D$43,MATCH(2,'Group Tables'!$P$40:$P$43,0)),"2J"))&lt;5,LEFT(IFERROR(INDEX('Group Tables'!$D$40:$D$43,MATCH(2,'Group Tables'!$P$40:$P$43,0)),"2J"),3)="TBC"),"TBC",IFERROR(INDEX('Group Tables'!$D$40:$D$43,MATCH(2,'Group Tables'!$P$40:$P$43,0)),"2J")),"TBC")</f>
        <v>TBC</v>
      </c>
      <c r="K95" s="109" t="s">
        <v>21</v>
      </c>
      <c r="L95" s="109" t="str">
        <f t="shared" si="23"/>
        <v>Inglewood (Los Angeles)</v>
      </c>
      <c r="M95" s="110">
        <f t="shared" si="24"/>
        <v>70240</v>
      </c>
      <c r="N95" s="258"/>
      <c r="O95" s="259"/>
      <c r="P95" s="260"/>
      <c r="Q95" s="260"/>
      <c r="R95" s="154">
        <f t="shared" si="25"/>
        <v>0</v>
      </c>
      <c r="S95" s="155">
        <f t="shared" si="26"/>
        <v>0</v>
      </c>
      <c r="T95" s="119">
        <f t="shared" si="27"/>
        <v>0</v>
      </c>
      <c r="U95" s="140" t="str">
        <f>IF(T95=1,IF(R95&gt;S95,I95&amp;VLOOKUP("win_suffix",langTable,MATCH(langName,_lang!$A$1:$F$1,0),FALSE()),IF(R95&lt;S95,J95&amp;VLOOKUP("win_suffix",langTable,MATCH(langName,_lang!$A$1:$F$1,0),FALSE()),IF(W95&lt;&gt;"",W95&amp;VLOOKUP("on_pens_suf",langTable,MATCH(langName,_lang!$A$1:$F$1,0),FALSE()),""))),"")</f>
        <v/>
      </c>
      <c r="V95" s="138" t="str">
        <f t="shared" si="32"/>
        <v>BBC / ITV (TBC)</v>
      </c>
      <c r="W95" s="261"/>
      <c r="X95" s="58">
        <v>46205.791666666657</v>
      </c>
      <c r="Y95" s="61" t="str">
        <f t="shared" si="33"/>
        <v/>
      </c>
      <c r="Z95" s="61" t="str">
        <f t="shared" si="34"/>
        <v/>
      </c>
      <c r="AA95" s="62">
        <f t="shared" ca="1" si="28"/>
        <v>83</v>
      </c>
      <c r="AB95" s="231"/>
      <c r="AC95" s="60" t="str">
        <f>IF(OR(AD95="",AE95="",LEFT(I95,3)="TBC",LEFT(J95,3)="TBC"),"",IFERROR(IF(COUNTIF(_h2h!$H$2:$H$94,AF95)=0,VLOOKUP("h2h_none",langTable,MATCH(langName,_lang!$A$1:$F$1,0),FALSE),IF(COUNTIF(_h2h!$H$2:$H$94,AF95)=1,"Met once · "&amp;INDEX(_h2h!$I$2:$I$94,MATCH(AF95,_h2h!$H$2:$H$94,0)),"Met "&amp;COUNTIF(_h2h!$H$2:$H$94,AF95)&amp;"× · last: "&amp;INDEX(_h2h!$I$2:$I$94,MATCH(AF95,_h2h!$H$2:$H$94,0)))),""))</f>
        <v/>
      </c>
      <c r="AD95" s="47" t="str">
        <f t="shared" si="29"/>
        <v/>
      </c>
      <c r="AE95" s="47" t="str">
        <f t="shared" si="30"/>
        <v/>
      </c>
      <c r="AF95" s="47" t="str">
        <f t="shared" si="31"/>
        <v/>
      </c>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row>
    <row r="96" spans="2:59" ht="15" customHeight="1">
      <c r="B96" s="57"/>
      <c r="C96" s="230"/>
      <c r="D96" s="112">
        <v>85</v>
      </c>
      <c r="E96" s="108" t="str">
        <f>DAY(X96+tzOffset/24)&amp;" "&amp;VLOOKUP("month_"&amp;MONTH(X96+tzOffset/24),langTable,MATCH(langName,_lang!$A$1:$F$1,0),FALSE())</f>
        <v>3 Jul</v>
      </c>
      <c r="F96" s="108" t="str">
        <f>VLOOKUP("dow_"&amp;IF(WEEKDAY(X96+tzOffset/24,2)=0,7,WEEKDAY(X96+tzOffset/24,2)),langTable,MATCH(langName,_lang!$A$1:$F$1,0),FALSE())</f>
        <v>Fri</v>
      </c>
      <c r="G96" s="108" t="str">
        <f t="shared" si="22"/>
        <v>04:00</v>
      </c>
      <c r="H96" s="112" t="s">
        <v>83</v>
      </c>
      <c r="I96" s="111" t="str">
        <f t="array" ref="I96">IFERROR(IF(OR(LEN(IFERROR(INDEX('Group Tables'!$Q$13:$Q$16,MATCH(1,'Group Tables'!$AC$13:$AC$16,0)),"1B"))&lt;5,LEFT(IFERROR(INDEX('Group Tables'!$Q$13:$Q$16,MATCH(1,'Group Tables'!$AC$13:$AC$16,0)),"1B"),3)="TBC"),"TBC",IFERROR(INDEX('Group Tables'!$Q$13:$Q$16,MATCH(1,'Group Tables'!$AC$13:$AC$16,0)),"1B")),"TBC")</f>
        <v>TBC</v>
      </c>
      <c r="J96" s="111" t="str">
        <f>IFERROR(IF(OR(LEN('Group Tables'!$F$71)&lt;5,LEFT('Group Tables'!$F$71,3)="TBC"),"TBC",'Group Tables'!$F$71),"TBC")</f>
        <v>TBC</v>
      </c>
      <c r="K96" s="109" t="s">
        <v>34</v>
      </c>
      <c r="L96" s="109" t="str">
        <f t="shared" si="23"/>
        <v>Vancouver</v>
      </c>
      <c r="M96" s="110">
        <f t="shared" si="24"/>
        <v>54500</v>
      </c>
      <c r="N96" s="258"/>
      <c r="O96" s="259"/>
      <c r="P96" s="260"/>
      <c r="Q96" s="260"/>
      <c r="R96" s="154">
        <f t="shared" si="25"/>
        <v>0</v>
      </c>
      <c r="S96" s="155">
        <f t="shared" si="26"/>
        <v>0</v>
      </c>
      <c r="T96" s="119">
        <f t="shared" si="27"/>
        <v>0</v>
      </c>
      <c r="U96" s="140" t="str">
        <f>IF(T96=1,IF(R96&gt;S96,I96&amp;VLOOKUP("win_suffix",langTable,MATCH(langName,_lang!$A$1:$F$1,0),FALSE()),IF(R96&lt;S96,J96&amp;VLOOKUP("win_suffix",langTable,MATCH(langName,_lang!$A$1:$F$1,0),FALSE()),IF(W96&lt;&gt;"",W96&amp;VLOOKUP("on_pens_suf",langTable,MATCH(langName,_lang!$A$1:$F$1,0),FALSE()),""))),"")</f>
        <v/>
      </c>
      <c r="V96" s="138" t="str">
        <f t="shared" si="32"/>
        <v>BBC / ITV (TBC)</v>
      </c>
      <c r="W96" s="261"/>
      <c r="X96" s="58">
        <v>46206.125</v>
      </c>
      <c r="Y96" s="61" t="str">
        <f t="shared" si="33"/>
        <v/>
      </c>
      <c r="Z96" s="61" t="str">
        <f t="shared" si="34"/>
        <v/>
      </c>
      <c r="AA96" s="62">
        <f t="shared" ca="1" si="28"/>
        <v>85</v>
      </c>
      <c r="AB96" s="231"/>
      <c r="AC96" s="60" t="str">
        <f>IF(OR(AD96="",AE96="",LEFT(I96,3)="TBC",LEFT(J96,3)="TBC"),"",IFERROR(IF(COUNTIF(_h2h!$H$2:$H$94,AF96)=0,VLOOKUP("h2h_none",langTable,MATCH(langName,_lang!$A$1:$F$1,0),FALSE),IF(COUNTIF(_h2h!$H$2:$H$94,AF96)=1,"Met once · "&amp;INDEX(_h2h!$I$2:$I$94,MATCH(AF96,_h2h!$H$2:$H$94,0)),"Met "&amp;COUNTIF(_h2h!$H$2:$H$94,AF96)&amp;"× · last: "&amp;INDEX(_h2h!$I$2:$I$94,MATCH(AF96,_h2h!$H$2:$H$94,0)))),""))</f>
        <v/>
      </c>
      <c r="AD96" s="47" t="str">
        <f t="shared" si="29"/>
        <v/>
      </c>
      <c r="AE96" s="47" t="str">
        <f t="shared" si="30"/>
        <v/>
      </c>
      <c r="AF96" s="47" t="str">
        <f t="shared" si="31"/>
        <v/>
      </c>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row>
    <row r="97" spans="2:59" ht="15" customHeight="1">
      <c r="B97" s="57"/>
      <c r="C97" s="230"/>
      <c r="D97" s="112">
        <v>86</v>
      </c>
      <c r="E97" s="108" t="str">
        <f>DAY(X97+tzOffset/24)&amp;" "&amp;VLOOKUP("month_"&amp;MONTH(X97+tzOffset/24),langTable,MATCH(langName,_lang!$A$1:$F$1,0),FALSE())</f>
        <v>3 Jul</v>
      </c>
      <c r="F97" s="108" t="str">
        <f>VLOOKUP("dow_"&amp;IF(WEEKDAY(X97+tzOffset/24,2)=0,7,WEEKDAY(X97+tzOffset/24,2)),langTable,MATCH(langName,_lang!$A$1:$F$1,0),FALSE())</f>
        <v>Fri</v>
      </c>
      <c r="G97" s="108" t="str">
        <f t="shared" si="22"/>
        <v>23:00</v>
      </c>
      <c r="H97" s="112" t="s">
        <v>83</v>
      </c>
      <c r="I97" s="111" t="str">
        <f t="array" ref="I97">IFERROR(IF(OR(LEN(IFERROR(INDEX('Group Tables'!$D$40:$D$43,MATCH(1,'Group Tables'!$P$40:$P$43,0)),"1J"))&lt;5,LEFT(IFERROR(INDEX('Group Tables'!$D$40:$D$43,MATCH(1,'Group Tables'!$P$40:$P$43,0)),"1J"),3)="TBC"),"TBC",IFERROR(INDEX('Group Tables'!$D$40:$D$43,MATCH(1,'Group Tables'!$P$40:$P$43,0)),"1J")),"TBC")</f>
        <v>TBC</v>
      </c>
      <c r="J97" s="111" t="str">
        <f t="array" ref="J97">IFERROR(IF(OR(LEN(IFERROR(INDEX('Group Tables'!$Q$31:$Q$34,MATCH(2,'Group Tables'!$AC$31:$AC$34,0)),"2H"))&lt;5,LEFT(IFERROR(INDEX('Group Tables'!$Q$31:$Q$34,MATCH(2,'Group Tables'!$AC$31:$AC$34,0)),"2H"),3)="TBC"),"TBC",IFERROR(INDEX('Group Tables'!$Q$31:$Q$34,MATCH(2,'Group Tables'!$AC$31:$AC$34,0)),"2H")),"TBC")</f>
        <v>TBC</v>
      </c>
      <c r="K97" s="109" t="s">
        <v>59</v>
      </c>
      <c r="L97" s="109" t="str">
        <f t="shared" si="23"/>
        <v>Miami Gardens</v>
      </c>
      <c r="M97" s="110">
        <f t="shared" si="24"/>
        <v>65326</v>
      </c>
      <c r="N97" s="258"/>
      <c r="O97" s="259"/>
      <c r="P97" s="260"/>
      <c r="Q97" s="260"/>
      <c r="R97" s="154">
        <f t="shared" si="25"/>
        <v>0</v>
      </c>
      <c r="S97" s="155">
        <f t="shared" si="26"/>
        <v>0</v>
      </c>
      <c r="T97" s="119">
        <f t="shared" si="27"/>
        <v>0</v>
      </c>
      <c r="U97" s="140" t="str">
        <f>IF(T97=1,IF(R97&gt;S97,I97&amp;VLOOKUP("win_suffix",langTable,MATCH(langName,_lang!$A$1:$F$1,0),FALSE()),IF(R97&lt;S97,J97&amp;VLOOKUP("win_suffix",langTable,MATCH(langName,_lang!$A$1:$F$1,0),FALSE()),IF(W97&lt;&gt;"",W97&amp;VLOOKUP("on_pens_suf",langTable,MATCH(langName,_lang!$A$1:$F$1,0),FALSE()),""))),"")</f>
        <v/>
      </c>
      <c r="V97" s="138" t="str">
        <f t="shared" si="32"/>
        <v>BBC / ITV (TBC)</v>
      </c>
      <c r="W97" s="261"/>
      <c r="X97" s="58">
        <v>46206.916666666657</v>
      </c>
      <c r="Y97" s="61" t="str">
        <f t="shared" si="33"/>
        <v/>
      </c>
      <c r="Z97" s="61" t="str">
        <f t="shared" si="34"/>
        <v/>
      </c>
      <c r="AA97" s="62">
        <f t="shared" ca="1" si="28"/>
        <v>87</v>
      </c>
      <c r="AB97" s="231"/>
      <c r="AC97" s="60" t="str">
        <f>IF(OR(AD97="",AE97="",LEFT(I97,3)="TBC",LEFT(J97,3)="TBC"),"",IFERROR(IF(COUNTIF(_h2h!$H$2:$H$94,AF97)=0,VLOOKUP("h2h_none",langTable,MATCH(langName,_lang!$A$1:$F$1,0),FALSE),IF(COUNTIF(_h2h!$H$2:$H$94,AF97)=1,"Met once · "&amp;INDEX(_h2h!$I$2:$I$94,MATCH(AF97,_h2h!$H$2:$H$94,0)),"Met "&amp;COUNTIF(_h2h!$H$2:$H$94,AF97)&amp;"× · last: "&amp;INDEX(_h2h!$I$2:$I$94,MATCH(AF97,_h2h!$H$2:$H$94,0)))),""))</f>
        <v/>
      </c>
      <c r="AD97" s="47" t="str">
        <f t="shared" si="29"/>
        <v/>
      </c>
      <c r="AE97" s="47" t="str">
        <f t="shared" si="30"/>
        <v/>
      </c>
      <c r="AF97" s="47" t="str">
        <f t="shared" si="31"/>
        <v/>
      </c>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row>
    <row r="98" spans="2:59" ht="15" customHeight="1">
      <c r="B98" s="57"/>
      <c r="C98" s="230"/>
      <c r="D98" s="112">
        <v>87</v>
      </c>
      <c r="E98" s="108" t="str">
        <f>DAY(X98+tzOffset/24)&amp;" "&amp;VLOOKUP("month_"&amp;MONTH(X98+tzOffset/24),langTable,MATCH(langName,_lang!$A$1:$F$1,0),FALSE())</f>
        <v>4 Jul</v>
      </c>
      <c r="F98" s="108" t="str">
        <f>VLOOKUP("dow_"&amp;IF(WEEKDAY(X98+tzOffset/24,2)=0,7,WEEKDAY(X98+tzOffset/24,2)),langTable,MATCH(langName,_lang!$A$1:$F$1,0),FALSE())</f>
        <v>Sat</v>
      </c>
      <c r="G98" s="108" t="str">
        <f t="shared" si="22"/>
        <v>02:30</v>
      </c>
      <c r="H98" s="112" t="s">
        <v>83</v>
      </c>
      <c r="I98" s="111" t="str">
        <f t="array" ref="I98">IFERROR(IF(OR(LEN(IFERROR(INDEX('Group Tables'!$Q$40:$Q$43,MATCH(1,'Group Tables'!$AC$40:$AC$43,0)),"1K"))&lt;5,LEFT(IFERROR(INDEX('Group Tables'!$Q$40:$Q$43,MATCH(1,'Group Tables'!$AC$40:$AC$43,0)),"1K"),3)="TBC"),"TBC",IFERROR(INDEX('Group Tables'!$Q$40:$Q$43,MATCH(1,'Group Tables'!$AC$40:$AC$43,0)),"1K")),"TBC")</f>
        <v>TBC</v>
      </c>
      <c r="J98" s="111" t="str">
        <f>IFERROR(IF(OR(LEN('Group Tables'!$F$72)&lt;5,LEFT('Group Tables'!$F$72,3)="TBC"),"TBC",'Group Tables'!$F$72),"TBC")</f>
        <v>TBC</v>
      </c>
      <c r="K98" s="109" t="s">
        <v>70</v>
      </c>
      <c r="L98" s="109" t="str">
        <f t="shared" si="23"/>
        <v>Kansas City</v>
      </c>
      <c r="M98" s="110">
        <f t="shared" si="24"/>
        <v>76416</v>
      </c>
      <c r="N98" s="258"/>
      <c r="O98" s="259"/>
      <c r="P98" s="260"/>
      <c r="Q98" s="260"/>
      <c r="R98" s="154">
        <f t="shared" si="25"/>
        <v>0</v>
      </c>
      <c r="S98" s="155">
        <f t="shared" si="26"/>
        <v>0</v>
      </c>
      <c r="T98" s="119">
        <f t="shared" si="27"/>
        <v>0</v>
      </c>
      <c r="U98" s="140" t="str">
        <f>IF(T98=1,IF(R98&gt;S98,I98&amp;VLOOKUP("win_suffix",langTable,MATCH(langName,_lang!$A$1:$F$1,0),FALSE()),IF(R98&lt;S98,J98&amp;VLOOKUP("win_suffix",langTable,MATCH(langName,_lang!$A$1:$F$1,0),FALSE()),IF(W98&lt;&gt;"",W98&amp;VLOOKUP("on_pens_suf",langTable,MATCH(langName,_lang!$A$1:$F$1,0),FALSE()),""))),"")</f>
        <v/>
      </c>
      <c r="V98" s="138" t="str">
        <f t="shared" si="32"/>
        <v>BBC / ITV (TBC)</v>
      </c>
      <c r="W98" s="261"/>
      <c r="X98" s="58">
        <v>46207.0625</v>
      </c>
      <c r="Y98" s="61" t="str">
        <f t="shared" si="33"/>
        <v/>
      </c>
      <c r="Z98" s="61" t="str">
        <f t="shared" si="34"/>
        <v/>
      </c>
      <c r="AA98" s="62">
        <f t="shared" ca="1" si="28"/>
        <v>88</v>
      </c>
      <c r="AB98" s="231"/>
      <c r="AC98" s="60" t="str">
        <f>IF(OR(AD98="",AE98="",LEFT(I98,3)="TBC",LEFT(J98,3)="TBC"),"",IFERROR(IF(COUNTIF(_h2h!$H$2:$H$94,AF98)=0,VLOOKUP("h2h_none",langTable,MATCH(langName,_lang!$A$1:$F$1,0),FALSE),IF(COUNTIF(_h2h!$H$2:$H$94,AF98)=1,"Met once · "&amp;INDEX(_h2h!$I$2:$I$94,MATCH(AF98,_h2h!$H$2:$H$94,0)),"Met "&amp;COUNTIF(_h2h!$H$2:$H$94,AF98)&amp;"× · last: "&amp;INDEX(_h2h!$I$2:$I$94,MATCH(AF98,_h2h!$H$2:$H$94,0)))),""))</f>
        <v/>
      </c>
      <c r="AD98" s="47" t="str">
        <f t="shared" si="29"/>
        <v/>
      </c>
      <c r="AE98" s="47" t="str">
        <f t="shared" si="30"/>
        <v/>
      </c>
      <c r="AF98" s="47" t="str">
        <f t="shared" si="31"/>
        <v/>
      </c>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row>
    <row r="99" spans="2:59" ht="15" customHeight="1">
      <c r="B99" s="57"/>
      <c r="C99" s="230"/>
      <c r="D99" s="112">
        <v>88</v>
      </c>
      <c r="E99" s="108" t="str">
        <f>DAY(X99+tzOffset/24)&amp;" "&amp;VLOOKUP("month_"&amp;MONTH(X99+tzOffset/24),langTable,MATCH(langName,_lang!$A$1:$F$1,0),FALSE())</f>
        <v>3 Jul</v>
      </c>
      <c r="F99" s="108" t="str">
        <f>VLOOKUP("dow_"&amp;IF(WEEKDAY(X99+tzOffset/24,2)=0,7,WEEKDAY(X99+tzOffset/24,2)),langTable,MATCH(langName,_lang!$A$1:$F$1,0),FALSE())</f>
        <v>Fri</v>
      </c>
      <c r="G99" s="108" t="str">
        <f t="shared" si="22"/>
        <v>19:00</v>
      </c>
      <c r="H99" s="112" t="s">
        <v>83</v>
      </c>
      <c r="I99" s="111" t="str">
        <f t="array" ref="I99">IFERROR(IF(OR(LEN(IFERROR(INDEX('Group Tables'!$D$22:$D$25,MATCH(2,'Group Tables'!$P$22:$P$25,0)),"2D"))&lt;5,LEFT(IFERROR(INDEX('Group Tables'!$D$22:$D$25,MATCH(2,'Group Tables'!$P$22:$P$25,0)),"2D"),3)="TBC"),"TBC",IFERROR(INDEX('Group Tables'!$D$22:$D$25,MATCH(2,'Group Tables'!$P$22:$P$25,0)),"2D")),"TBC")</f>
        <v>TBC</v>
      </c>
      <c r="J99" s="111" t="str">
        <f t="array" ref="J99">IFERROR(IF(OR(LEN(IFERROR(INDEX('Group Tables'!$D$31:$D$34,MATCH(2,'Group Tables'!$P$31:$P$34,0)),"2G"))&lt;5,LEFT(IFERROR(INDEX('Group Tables'!$D$31:$D$34,MATCH(2,'Group Tables'!$P$31:$P$34,0)),"2G"),3)="TBC"),"TBC",IFERROR(INDEX('Group Tables'!$D$31:$D$34,MATCH(2,'Group Tables'!$P$31:$P$34,0)),"2G")),"TBC")</f>
        <v>TBC</v>
      </c>
      <c r="K99" s="109" t="s">
        <v>42</v>
      </c>
      <c r="L99" s="109" t="str">
        <f t="shared" si="23"/>
        <v>Arlington (Dallas)</v>
      </c>
      <c r="M99" s="110">
        <f t="shared" si="24"/>
        <v>92967</v>
      </c>
      <c r="N99" s="258"/>
      <c r="O99" s="259"/>
      <c r="P99" s="260"/>
      <c r="Q99" s="260"/>
      <c r="R99" s="154">
        <f t="shared" si="25"/>
        <v>0</v>
      </c>
      <c r="S99" s="155">
        <f t="shared" si="26"/>
        <v>0</v>
      </c>
      <c r="T99" s="119">
        <f t="shared" si="27"/>
        <v>0</v>
      </c>
      <c r="U99" s="140" t="str">
        <f>IF(T99=1,IF(R99&gt;S99,I99&amp;VLOOKUP("win_suffix",langTable,MATCH(langName,_lang!$A$1:$F$1,0),FALSE()),IF(R99&lt;S99,J99&amp;VLOOKUP("win_suffix",langTable,MATCH(langName,_lang!$A$1:$F$1,0),FALSE()),IF(W99&lt;&gt;"",W99&amp;VLOOKUP("on_pens_suf",langTable,MATCH(langName,_lang!$A$1:$F$1,0),FALSE()),""))),"")</f>
        <v/>
      </c>
      <c r="V99" s="138" t="str">
        <f t="shared" si="32"/>
        <v>BBC / ITV (TBC)</v>
      </c>
      <c r="W99" s="261"/>
      <c r="X99" s="58">
        <v>46206.75</v>
      </c>
      <c r="Y99" s="61" t="str">
        <f t="shared" si="33"/>
        <v/>
      </c>
      <c r="Z99" s="61" t="str">
        <f t="shared" si="34"/>
        <v/>
      </c>
      <c r="AA99" s="62">
        <f t="shared" ca="1" si="28"/>
        <v>86</v>
      </c>
      <c r="AB99" s="231"/>
      <c r="AC99" s="60" t="str">
        <f>IF(OR(AD99="",AE99="",LEFT(I99,3)="TBC",LEFT(J99,3)="TBC"),"",IFERROR(IF(COUNTIF(_h2h!$H$2:$H$94,AF99)=0,VLOOKUP("h2h_none",langTable,MATCH(langName,_lang!$A$1:$F$1,0),FALSE),IF(COUNTIF(_h2h!$H$2:$H$94,AF99)=1,"Met once · "&amp;INDEX(_h2h!$I$2:$I$94,MATCH(AF99,_h2h!$H$2:$H$94,0)),"Met "&amp;COUNTIF(_h2h!$H$2:$H$94,AF99)&amp;"× · last: "&amp;INDEX(_h2h!$I$2:$I$94,MATCH(AF99,_h2h!$H$2:$H$94,0)))),""))</f>
        <v/>
      </c>
      <c r="AD99" s="47" t="str">
        <f t="shared" si="29"/>
        <v/>
      </c>
      <c r="AE99" s="47" t="str">
        <f t="shared" si="30"/>
        <v/>
      </c>
      <c r="AF99" s="47" t="str">
        <f t="shared" si="31"/>
        <v/>
      </c>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row>
    <row r="100" spans="2:59" ht="15" customHeight="1">
      <c r="B100" s="57"/>
      <c r="C100" s="230"/>
      <c r="D100" s="112">
        <v>89</v>
      </c>
      <c r="E100" s="108" t="str">
        <f>DAY(X100+tzOffset/24)&amp;" "&amp;VLOOKUP("month_"&amp;MONTH(X100+tzOffset/24),langTable,MATCH(langName,_lang!$A$1:$F$1,0),FALSE())</f>
        <v>4 Jul</v>
      </c>
      <c r="F100" s="108" t="str">
        <f>VLOOKUP("dow_"&amp;IF(WEEKDAY(X100+tzOffset/24,2)=0,7,WEEKDAY(X100+tzOffset/24,2)),langTable,MATCH(langName,_lang!$A$1:$F$1,0),FALSE())</f>
        <v>Sat</v>
      </c>
      <c r="G100" s="108" t="str">
        <f t="shared" si="22"/>
        <v>18:00</v>
      </c>
      <c r="H100" s="112" t="s">
        <v>84</v>
      </c>
      <c r="I100" s="111" t="str">
        <f>IFERROR(IF(OR(LEN(Y85)&lt;5,LEFT(Y85,3)="TBC"),"TBC",Y85),"TBC")</f>
        <v>TBC</v>
      </c>
      <c r="J100" s="111" t="str">
        <f>IFERROR(IF(OR(LEN(Y88)&lt;5,LEFT(Y88,3)="TBC"),"TBC",Y88),"TBC")</f>
        <v>TBC</v>
      </c>
      <c r="K100" s="109" t="s">
        <v>38</v>
      </c>
      <c r="L100" s="109" t="str">
        <f t="shared" si="23"/>
        <v>Houston</v>
      </c>
      <c r="M100" s="110">
        <f t="shared" si="24"/>
        <v>72220</v>
      </c>
      <c r="N100" s="258"/>
      <c r="O100" s="259"/>
      <c r="P100" s="260"/>
      <c r="Q100" s="260"/>
      <c r="R100" s="154">
        <f t="shared" si="25"/>
        <v>0</v>
      </c>
      <c r="S100" s="155">
        <f t="shared" si="26"/>
        <v>0</v>
      </c>
      <c r="T100" s="119">
        <f t="shared" si="27"/>
        <v>0</v>
      </c>
      <c r="U100" s="140" t="str">
        <f>IF(T100=1,IF(R100&gt;S100,I100&amp;VLOOKUP("win_suffix",langTable,MATCH(langName,_lang!$A$1:$F$1,0),FALSE()),IF(R100&lt;S100,J100&amp;VLOOKUP("win_suffix",langTable,MATCH(langName,_lang!$A$1:$F$1,0),FALSE()),IF(W100&lt;&gt;"",W100&amp;VLOOKUP("on_pens_suf",langTable,MATCH(langName,_lang!$A$1:$F$1,0),FALSE()),""))),"")</f>
        <v/>
      </c>
      <c r="V100" s="138" t="str">
        <f t="shared" si="32"/>
        <v>BBC / ITV (TBC)</v>
      </c>
      <c r="W100" s="261"/>
      <c r="X100" s="58">
        <v>46207.708333333343</v>
      </c>
      <c r="Y100" s="61" t="str">
        <f t="shared" si="33"/>
        <v/>
      </c>
      <c r="Z100" s="61" t="str">
        <f t="shared" si="34"/>
        <v/>
      </c>
      <c r="AA100" s="62">
        <f t="shared" ca="1" si="28"/>
        <v>89</v>
      </c>
      <c r="AB100" s="231"/>
      <c r="AC100" s="60" t="str">
        <f>IF(OR(AD100="",AE100="",LEFT(I100,3)="TBC",LEFT(J100,3)="TBC"),"",IFERROR(IF(COUNTIF(_h2h!$H$2:$H$94,AF100)=0,VLOOKUP("h2h_none",langTable,MATCH(langName,_lang!$A$1:$F$1,0),FALSE),IF(COUNTIF(_h2h!$H$2:$H$94,AF100)=1,"Met once · "&amp;INDEX(_h2h!$I$2:$I$94,MATCH(AF100,_h2h!$H$2:$H$94,0)),"Met "&amp;COUNTIF(_h2h!$H$2:$H$94,AF100)&amp;"× · last: "&amp;INDEX(_h2h!$I$2:$I$94,MATCH(AF100,_h2h!$H$2:$H$94,0)))),""))</f>
        <v/>
      </c>
      <c r="AD100" s="47" t="str">
        <f t="shared" si="29"/>
        <v/>
      </c>
      <c r="AE100" s="47" t="str">
        <f t="shared" si="30"/>
        <v/>
      </c>
      <c r="AF100" s="47" t="str">
        <f t="shared" si="31"/>
        <v/>
      </c>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row>
    <row r="101" spans="2:59" ht="15" customHeight="1">
      <c r="B101" s="57"/>
      <c r="C101" s="230"/>
      <c r="D101" s="112">
        <v>90</v>
      </c>
      <c r="E101" s="108" t="str">
        <f>DAY(X101+tzOffset/24)&amp;" "&amp;VLOOKUP("month_"&amp;MONTH(X101+tzOffset/24),langTable,MATCH(langName,_lang!$A$1:$F$1,0),FALSE())</f>
        <v>4 Jul</v>
      </c>
      <c r="F101" s="108" t="str">
        <f>VLOOKUP("dow_"&amp;IF(WEEKDAY(X101+tzOffset/24,2)=0,7,WEEKDAY(X101+tzOffset/24,2)),langTable,MATCH(langName,_lang!$A$1:$F$1,0),FALSE())</f>
        <v>Sat</v>
      </c>
      <c r="G101" s="108" t="str">
        <f t="shared" si="22"/>
        <v>22:00</v>
      </c>
      <c r="H101" s="112" t="s">
        <v>84</v>
      </c>
      <c r="I101" s="111" t="str">
        <f>IFERROR(IF(OR(LEN(Y84)&lt;5,LEFT(Y84,3)="TBC"),"TBC",Y84),"TBC")</f>
        <v>TBC</v>
      </c>
      <c r="J101" s="111" t="str">
        <f>IFERROR(IF(OR(LEN(Y86)&lt;5,LEFT(Y86,3)="TBC"),"TBC",Y86),"TBC")</f>
        <v>TBC</v>
      </c>
      <c r="K101" s="109" t="s">
        <v>45</v>
      </c>
      <c r="L101" s="109" t="str">
        <f t="shared" si="23"/>
        <v>Philadelphia</v>
      </c>
      <c r="M101" s="110">
        <f t="shared" si="24"/>
        <v>69176</v>
      </c>
      <c r="N101" s="258"/>
      <c r="O101" s="259"/>
      <c r="P101" s="260"/>
      <c r="Q101" s="260"/>
      <c r="R101" s="154">
        <f t="shared" si="25"/>
        <v>0</v>
      </c>
      <c r="S101" s="155">
        <f t="shared" si="26"/>
        <v>0</v>
      </c>
      <c r="T101" s="119">
        <f t="shared" si="27"/>
        <v>0</v>
      </c>
      <c r="U101" s="140" t="str">
        <f>IF(T101=1,IF(R101&gt;S101,I101&amp;VLOOKUP("win_suffix",langTable,MATCH(langName,_lang!$A$1:$F$1,0),FALSE()),IF(R101&lt;S101,J101&amp;VLOOKUP("win_suffix",langTable,MATCH(langName,_lang!$A$1:$F$1,0),FALSE()),IF(W101&lt;&gt;"",W101&amp;VLOOKUP("on_pens_suf",langTable,MATCH(langName,_lang!$A$1:$F$1,0),FALSE()),""))),"")</f>
        <v/>
      </c>
      <c r="V101" s="138" t="str">
        <f t="shared" si="32"/>
        <v>BBC / ITV (TBC)</v>
      </c>
      <c r="W101" s="261"/>
      <c r="X101" s="58">
        <v>46207.875</v>
      </c>
      <c r="Y101" s="61" t="str">
        <f t="shared" si="33"/>
        <v/>
      </c>
      <c r="Z101" s="61" t="str">
        <f t="shared" si="34"/>
        <v/>
      </c>
      <c r="AA101" s="62">
        <f t="shared" ca="1" si="28"/>
        <v>90</v>
      </c>
      <c r="AB101" s="231"/>
      <c r="AC101" s="60" t="str">
        <f>IF(OR(AD101="",AE101="",LEFT(I101,3)="TBC",LEFT(J101,3)="TBC"),"",IFERROR(IF(COUNTIF(_h2h!$H$2:$H$94,AF101)=0,VLOOKUP("h2h_none",langTable,MATCH(langName,_lang!$A$1:$F$1,0),FALSE),IF(COUNTIF(_h2h!$H$2:$H$94,AF101)=1,"Met once · "&amp;INDEX(_h2h!$I$2:$I$94,MATCH(AF101,_h2h!$H$2:$H$94,0)),"Met "&amp;COUNTIF(_h2h!$H$2:$H$94,AF101)&amp;"× · last: "&amp;INDEX(_h2h!$I$2:$I$94,MATCH(AF101,_h2h!$H$2:$H$94,0)))),""))</f>
        <v/>
      </c>
      <c r="AD101" s="47" t="str">
        <f t="shared" si="29"/>
        <v/>
      </c>
      <c r="AE101" s="47" t="str">
        <f t="shared" si="30"/>
        <v/>
      </c>
      <c r="AF101" s="47" t="str">
        <f t="shared" si="31"/>
        <v/>
      </c>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row>
    <row r="102" spans="2:59" ht="15" customHeight="1">
      <c r="B102" s="57"/>
      <c r="C102" s="230"/>
      <c r="D102" s="112">
        <v>91</v>
      </c>
      <c r="E102" s="108" t="str">
        <f>DAY(X102+tzOffset/24)&amp;" "&amp;VLOOKUP("month_"&amp;MONTH(X102+tzOffset/24),langTable,MATCH(langName,_lang!$A$1:$F$1,0),FALSE())</f>
        <v>5 Jul</v>
      </c>
      <c r="F102" s="108" t="str">
        <f>VLOOKUP("dow_"&amp;IF(WEEKDAY(X102+tzOffset/24,2)=0,7,WEEKDAY(X102+tzOffset/24,2)),langTable,MATCH(langName,_lang!$A$1:$F$1,0),FALSE())</f>
        <v>Sun</v>
      </c>
      <c r="G102" s="108" t="str">
        <f t="shared" si="22"/>
        <v>21:00</v>
      </c>
      <c r="H102" s="112" t="s">
        <v>84</v>
      </c>
      <c r="I102" s="111" t="str">
        <f>IFERROR(IF(OR(LEN(Y87)&lt;5,LEFT(Y87,3)="TBC"),"TBC",Y87),"TBC")</f>
        <v>TBC</v>
      </c>
      <c r="J102" s="111" t="str">
        <f>IFERROR(IF(OR(LEN(Y89)&lt;5,LEFT(Y89,3)="TBC"),"TBC",Y89),"TBC")</f>
        <v>TBC</v>
      </c>
      <c r="K102" s="109" t="s">
        <v>28</v>
      </c>
      <c r="L102" s="109" t="str">
        <f t="shared" si="23"/>
        <v>East Rutherford (NY/NJ)</v>
      </c>
      <c r="M102" s="110">
        <f t="shared" si="24"/>
        <v>82500</v>
      </c>
      <c r="N102" s="258"/>
      <c r="O102" s="259"/>
      <c r="P102" s="260"/>
      <c r="Q102" s="260"/>
      <c r="R102" s="154">
        <f t="shared" si="25"/>
        <v>0</v>
      </c>
      <c r="S102" s="155">
        <f t="shared" si="26"/>
        <v>0</v>
      </c>
      <c r="T102" s="119">
        <f t="shared" si="27"/>
        <v>0</v>
      </c>
      <c r="U102" s="140" t="str">
        <f>IF(T102=1,IF(R102&gt;S102,I102&amp;VLOOKUP("win_suffix",langTable,MATCH(langName,_lang!$A$1:$F$1,0),FALSE()),IF(R102&lt;S102,J102&amp;VLOOKUP("win_suffix",langTable,MATCH(langName,_lang!$A$1:$F$1,0),FALSE()),IF(W102&lt;&gt;"",W102&amp;VLOOKUP("on_pens_suf",langTable,MATCH(langName,_lang!$A$1:$F$1,0),FALSE()),""))),"")</f>
        <v/>
      </c>
      <c r="V102" s="138" t="str">
        <f t="shared" si="32"/>
        <v>BBC / ITV (TBC)</v>
      </c>
      <c r="W102" s="261"/>
      <c r="X102" s="58">
        <v>46208.833333333343</v>
      </c>
      <c r="Y102" s="61" t="str">
        <f t="shared" si="33"/>
        <v/>
      </c>
      <c r="Z102" s="61" t="str">
        <f t="shared" si="34"/>
        <v/>
      </c>
      <c r="AA102" s="62">
        <f t="shared" ca="1" si="28"/>
        <v>91</v>
      </c>
      <c r="AB102" s="231"/>
      <c r="AC102" s="60" t="str">
        <f>IF(OR(AD102="",AE102="",LEFT(I102,3)="TBC",LEFT(J102,3)="TBC"),"",IFERROR(IF(COUNTIF(_h2h!$H$2:$H$94,AF102)=0,VLOOKUP("h2h_none",langTable,MATCH(langName,_lang!$A$1:$F$1,0),FALSE),IF(COUNTIF(_h2h!$H$2:$H$94,AF102)=1,"Met once · "&amp;INDEX(_h2h!$I$2:$I$94,MATCH(AF102,_h2h!$H$2:$H$94,0)),"Met "&amp;COUNTIF(_h2h!$H$2:$H$94,AF102)&amp;"× · last: "&amp;INDEX(_h2h!$I$2:$I$94,MATCH(AF102,_h2h!$H$2:$H$94,0)))),""))</f>
        <v/>
      </c>
      <c r="AD102" s="47" t="str">
        <f t="shared" si="29"/>
        <v/>
      </c>
      <c r="AE102" s="47" t="str">
        <f t="shared" si="30"/>
        <v/>
      </c>
      <c r="AF102" s="47" t="str">
        <f t="shared" si="31"/>
        <v/>
      </c>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row>
    <row r="103" spans="2:59" ht="15" customHeight="1">
      <c r="B103" s="57"/>
      <c r="C103" s="230"/>
      <c r="D103" s="112">
        <v>92</v>
      </c>
      <c r="E103" s="108" t="str">
        <f>DAY(X103+tzOffset/24)&amp;" "&amp;VLOOKUP("month_"&amp;MONTH(X103+tzOffset/24),langTable,MATCH(langName,_lang!$A$1:$F$1,0),FALSE())</f>
        <v>6 Jul</v>
      </c>
      <c r="F103" s="108" t="str">
        <f>VLOOKUP("dow_"&amp;IF(WEEKDAY(X103+tzOffset/24,2)=0,7,WEEKDAY(X103+tzOffset/24,2)),langTable,MATCH(langName,_lang!$A$1:$F$1,0),FALSE())</f>
        <v>Mon</v>
      </c>
      <c r="G103" s="108" t="str">
        <f t="shared" si="22"/>
        <v>01:00</v>
      </c>
      <c r="H103" s="112" t="s">
        <v>84</v>
      </c>
      <c r="I103" s="111" t="str">
        <f>IFERROR(IF(OR(LEN(Y90)&lt;5,LEFT(Y90,3)="TBC"),"TBC",Y90),"TBC")</f>
        <v>TBC</v>
      </c>
      <c r="J103" s="111" t="str">
        <f>IFERROR(IF(OR(LEN(Y91)&lt;5,LEFT(Y91,3)="TBC"),"TBC",Y91),"TBC")</f>
        <v>TBC</v>
      </c>
      <c r="K103" s="109" t="s">
        <v>10</v>
      </c>
      <c r="L103" s="109" t="str">
        <f t="shared" si="23"/>
        <v>Mexico City</v>
      </c>
      <c r="M103" s="110">
        <f t="shared" si="24"/>
        <v>87000</v>
      </c>
      <c r="N103" s="258"/>
      <c r="O103" s="259"/>
      <c r="P103" s="260"/>
      <c r="Q103" s="260"/>
      <c r="R103" s="154">
        <f t="shared" si="25"/>
        <v>0</v>
      </c>
      <c r="S103" s="155">
        <f t="shared" si="26"/>
        <v>0</v>
      </c>
      <c r="T103" s="119">
        <f t="shared" si="27"/>
        <v>0</v>
      </c>
      <c r="U103" s="140" t="str">
        <f>IF(T103=1,IF(R103&gt;S103,I103&amp;VLOOKUP("win_suffix",langTable,MATCH(langName,_lang!$A$1:$F$1,0),FALSE()),IF(R103&lt;S103,J103&amp;VLOOKUP("win_suffix",langTable,MATCH(langName,_lang!$A$1:$F$1,0),FALSE()),IF(W103&lt;&gt;"",W103&amp;VLOOKUP("on_pens_suf",langTable,MATCH(langName,_lang!$A$1:$F$1,0),FALSE()),""))),"")</f>
        <v/>
      </c>
      <c r="V103" s="138" t="str">
        <f t="shared" si="32"/>
        <v>BBC / ITV (TBC)</v>
      </c>
      <c r="W103" s="261"/>
      <c r="X103" s="58">
        <v>46209</v>
      </c>
      <c r="Y103" s="61" t="str">
        <f t="shared" si="33"/>
        <v/>
      </c>
      <c r="Z103" s="61" t="str">
        <f t="shared" si="34"/>
        <v/>
      </c>
      <c r="AA103" s="62">
        <f t="shared" ca="1" si="28"/>
        <v>92</v>
      </c>
      <c r="AB103" s="231"/>
      <c r="AC103" s="60" t="str">
        <f>IF(OR(AD103="",AE103="",LEFT(I103,3)="TBC",LEFT(J103,3)="TBC"),"",IFERROR(IF(COUNTIF(_h2h!$H$2:$H$94,AF103)=0,VLOOKUP("h2h_none",langTable,MATCH(langName,_lang!$A$1:$F$1,0),FALSE),IF(COUNTIF(_h2h!$H$2:$H$94,AF103)=1,"Met once · "&amp;INDEX(_h2h!$I$2:$I$94,MATCH(AF103,_h2h!$H$2:$H$94,0)),"Met "&amp;COUNTIF(_h2h!$H$2:$H$94,AF103)&amp;"× · last: "&amp;INDEX(_h2h!$I$2:$I$94,MATCH(AF103,_h2h!$H$2:$H$94,0)))),""))</f>
        <v/>
      </c>
      <c r="AD103" s="47" t="str">
        <f t="shared" si="29"/>
        <v/>
      </c>
      <c r="AE103" s="47" t="str">
        <f t="shared" si="30"/>
        <v/>
      </c>
      <c r="AF103" s="47" t="str">
        <f t="shared" si="31"/>
        <v/>
      </c>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row>
    <row r="104" spans="2:59" ht="15" customHeight="1">
      <c r="B104" s="57"/>
      <c r="C104" s="230"/>
      <c r="D104" s="112">
        <v>93</v>
      </c>
      <c r="E104" s="108" t="str">
        <f>DAY(X104+tzOffset/24)&amp;" "&amp;VLOOKUP("month_"&amp;MONTH(X104+tzOffset/24),langTable,MATCH(langName,_lang!$A$1:$F$1,0),FALSE())</f>
        <v>6 Jul</v>
      </c>
      <c r="F104" s="108" t="str">
        <f>VLOOKUP("dow_"&amp;IF(WEEKDAY(X104+tzOffset/24,2)=0,7,WEEKDAY(X104+tzOffset/24,2)),langTable,MATCH(langName,_lang!$A$1:$F$1,0),FALSE())</f>
        <v>Mon</v>
      </c>
      <c r="G104" s="108" t="str">
        <f t="shared" si="22"/>
        <v>20:00</v>
      </c>
      <c r="H104" s="112" t="s">
        <v>84</v>
      </c>
      <c r="I104" s="111" t="str">
        <f>IFERROR(IF(OR(LEN(Y94)&lt;5,LEFT(Y94,3)="TBC"),"TBC",Y94),"TBC")</f>
        <v>TBC</v>
      </c>
      <c r="J104" s="111" t="str">
        <f>IFERROR(IF(OR(LEN(Y95)&lt;5,LEFT(Y95,3)="TBC"),"TBC",Y95),"TBC")</f>
        <v>TBC</v>
      </c>
      <c r="K104" s="109" t="s">
        <v>42</v>
      </c>
      <c r="L104" s="109" t="str">
        <f t="shared" si="23"/>
        <v>Arlington (Dallas)</v>
      </c>
      <c r="M104" s="110">
        <f t="shared" si="24"/>
        <v>92967</v>
      </c>
      <c r="N104" s="258"/>
      <c r="O104" s="259"/>
      <c r="P104" s="260"/>
      <c r="Q104" s="260"/>
      <c r="R104" s="154">
        <f t="shared" si="25"/>
        <v>0</v>
      </c>
      <c r="S104" s="155">
        <f t="shared" si="26"/>
        <v>0</v>
      </c>
      <c r="T104" s="119">
        <f t="shared" si="27"/>
        <v>0</v>
      </c>
      <c r="U104" s="140" t="str">
        <f>IF(T104=1,IF(R104&gt;S104,I104&amp;VLOOKUP("win_suffix",langTable,MATCH(langName,_lang!$A$1:$F$1,0),FALSE()),IF(R104&lt;S104,J104&amp;VLOOKUP("win_suffix",langTable,MATCH(langName,_lang!$A$1:$F$1,0),FALSE()),IF(W104&lt;&gt;"",W104&amp;VLOOKUP("on_pens_suf",langTable,MATCH(langName,_lang!$A$1:$F$1,0),FALSE()),""))),"")</f>
        <v/>
      </c>
      <c r="V104" s="138" t="str">
        <f t="shared" si="32"/>
        <v>BBC / ITV (TBC)</v>
      </c>
      <c r="W104" s="261"/>
      <c r="X104" s="58">
        <v>46209.791666666657</v>
      </c>
      <c r="Y104" s="61" t="str">
        <f t="shared" si="33"/>
        <v/>
      </c>
      <c r="Z104" s="61" t="str">
        <f t="shared" si="34"/>
        <v/>
      </c>
      <c r="AA104" s="62">
        <f t="shared" ca="1" si="28"/>
        <v>93</v>
      </c>
      <c r="AB104" s="231"/>
      <c r="AC104" s="60" t="str">
        <f>IF(OR(AD104="",AE104="",LEFT(I104,3)="TBC",LEFT(J104,3)="TBC"),"",IFERROR(IF(COUNTIF(_h2h!$H$2:$H$94,AF104)=0,VLOOKUP("h2h_none",langTable,MATCH(langName,_lang!$A$1:$F$1,0),FALSE),IF(COUNTIF(_h2h!$H$2:$H$94,AF104)=1,"Met once · "&amp;INDEX(_h2h!$I$2:$I$94,MATCH(AF104,_h2h!$H$2:$H$94,0)),"Met "&amp;COUNTIF(_h2h!$H$2:$H$94,AF104)&amp;"× · last: "&amp;INDEX(_h2h!$I$2:$I$94,MATCH(AF104,_h2h!$H$2:$H$94,0)))),""))</f>
        <v/>
      </c>
      <c r="AD104" s="47" t="str">
        <f t="shared" si="29"/>
        <v/>
      </c>
      <c r="AE104" s="47" t="str">
        <f t="shared" si="30"/>
        <v/>
      </c>
      <c r="AF104" s="47" t="str">
        <f t="shared" si="31"/>
        <v/>
      </c>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row>
    <row r="105" spans="2:59" ht="15" customHeight="1">
      <c r="B105" s="57"/>
      <c r="C105" s="230"/>
      <c r="D105" s="112">
        <v>94</v>
      </c>
      <c r="E105" s="108" t="str">
        <f>DAY(X105+tzOffset/24)&amp;" "&amp;VLOOKUP("month_"&amp;MONTH(X105+tzOffset/24),langTable,MATCH(langName,_lang!$A$1:$F$1,0),FALSE())</f>
        <v>7 Jul</v>
      </c>
      <c r="F105" s="108" t="str">
        <f>VLOOKUP("dow_"&amp;IF(WEEKDAY(X105+tzOffset/24,2)=0,7,WEEKDAY(X105+tzOffset/24,2)),langTable,MATCH(langName,_lang!$A$1:$F$1,0),FALSE())</f>
        <v>Tue</v>
      </c>
      <c r="G105" s="108" t="str">
        <f t="shared" si="22"/>
        <v>01:00</v>
      </c>
      <c r="H105" s="112" t="s">
        <v>84</v>
      </c>
      <c r="I105" s="111" t="str">
        <f>IFERROR(IF(OR(LEN(Y92)&lt;5,LEFT(Y92,3)="TBC"),"TBC",Y92),"TBC")</f>
        <v>TBC</v>
      </c>
      <c r="J105" s="111" t="str">
        <f>IFERROR(IF(OR(LEN(Y93)&lt;5,LEFT(Y93,3)="TBC"),"TBC",Y93),"TBC")</f>
        <v>TBC</v>
      </c>
      <c r="K105" s="109" t="s">
        <v>56</v>
      </c>
      <c r="L105" s="109" t="str">
        <f t="shared" si="23"/>
        <v>Seattle</v>
      </c>
      <c r="M105" s="110">
        <f t="shared" si="24"/>
        <v>68740</v>
      </c>
      <c r="N105" s="258"/>
      <c r="O105" s="259"/>
      <c r="P105" s="260"/>
      <c r="Q105" s="260"/>
      <c r="R105" s="154">
        <f t="shared" si="25"/>
        <v>0</v>
      </c>
      <c r="S105" s="155">
        <f t="shared" si="26"/>
        <v>0</v>
      </c>
      <c r="T105" s="119">
        <f t="shared" si="27"/>
        <v>0</v>
      </c>
      <c r="U105" s="140" t="str">
        <f>IF(T105=1,IF(R105&gt;S105,I105&amp;VLOOKUP("win_suffix",langTable,MATCH(langName,_lang!$A$1:$F$1,0),FALSE()),IF(R105&lt;S105,J105&amp;VLOOKUP("win_suffix",langTable,MATCH(langName,_lang!$A$1:$F$1,0),FALSE()),IF(W105&lt;&gt;"",W105&amp;VLOOKUP("on_pens_suf",langTable,MATCH(langName,_lang!$A$1:$F$1,0),FALSE()),""))),"")</f>
        <v/>
      </c>
      <c r="V105" s="138" t="str">
        <f t="shared" si="32"/>
        <v>BBC / ITV (TBC)</v>
      </c>
      <c r="W105" s="261"/>
      <c r="X105" s="58">
        <v>46210</v>
      </c>
      <c r="Y105" s="61" t="str">
        <f t="shared" si="33"/>
        <v/>
      </c>
      <c r="Z105" s="61" t="str">
        <f t="shared" si="34"/>
        <v/>
      </c>
      <c r="AA105" s="62">
        <f t="shared" ca="1" si="28"/>
        <v>94</v>
      </c>
      <c r="AB105" s="231"/>
      <c r="AC105" s="60" t="str">
        <f>IF(OR(AD105="",AE105="",LEFT(I105,3)="TBC",LEFT(J105,3)="TBC"),"",IFERROR(IF(COUNTIF(_h2h!$H$2:$H$94,AF105)=0,VLOOKUP("h2h_none",langTable,MATCH(langName,_lang!$A$1:$F$1,0),FALSE),IF(COUNTIF(_h2h!$H$2:$H$94,AF105)=1,"Met once · "&amp;INDEX(_h2h!$I$2:$I$94,MATCH(AF105,_h2h!$H$2:$H$94,0)),"Met "&amp;COUNTIF(_h2h!$H$2:$H$94,AF105)&amp;"× · last: "&amp;INDEX(_h2h!$I$2:$I$94,MATCH(AF105,_h2h!$H$2:$H$94,0)))),""))</f>
        <v/>
      </c>
      <c r="AD105" s="47" t="str">
        <f t="shared" si="29"/>
        <v/>
      </c>
      <c r="AE105" s="47" t="str">
        <f t="shared" si="30"/>
        <v/>
      </c>
      <c r="AF105" s="47" t="str">
        <f t="shared" si="31"/>
        <v/>
      </c>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row>
    <row r="106" spans="2:59" ht="15" customHeight="1">
      <c r="B106" s="57"/>
      <c r="C106" s="230"/>
      <c r="D106" s="112">
        <v>95</v>
      </c>
      <c r="E106" s="108" t="str">
        <f>DAY(X106+tzOffset/24)&amp;" "&amp;VLOOKUP("month_"&amp;MONTH(X106+tzOffset/24),langTable,MATCH(langName,_lang!$A$1:$F$1,0),FALSE())</f>
        <v>7 Jul</v>
      </c>
      <c r="F106" s="108" t="str">
        <f>VLOOKUP("dow_"&amp;IF(WEEKDAY(X106+tzOffset/24,2)=0,7,WEEKDAY(X106+tzOffset/24,2)),langTable,MATCH(langName,_lang!$A$1:$F$1,0),FALSE())</f>
        <v>Tue</v>
      </c>
      <c r="G106" s="108" t="str">
        <f t="shared" si="22"/>
        <v>17:00</v>
      </c>
      <c r="H106" s="112" t="s">
        <v>84</v>
      </c>
      <c r="I106" s="111" t="str">
        <f>IFERROR(IF(OR(LEN(Y97)&lt;5,LEFT(Y97,3)="TBC"),"TBC",Y97),"TBC")</f>
        <v>TBC</v>
      </c>
      <c r="J106" s="111" t="str">
        <f>IFERROR(IF(OR(LEN(Y99)&lt;5,LEFT(Y99,3)="TBC"),"TBC",Y99),"TBC")</f>
        <v>TBC</v>
      </c>
      <c r="K106" s="109" t="s">
        <v>52</v>
      </c>
      <c r="L106" s="109" t="str">
        <f t="shared" si="23"/>
        <v>Atlanta</v>
      </c>
      <c r="M106" s="110">
        <f t="shared" si="24"/>
        <v>71000</v>
      </c>
      <c r="N106" s="258"/>
      <c r="O106" s="259"/>
      <c r="P106" s="260"/>
      <c r="Q106" s="260"/>
      <c r="R106" s="154">
        <f t="shared" si="25"/>
        <v>0</v>
      </c>
      <c r="S106" s="155">
        <f t="shared" si="26"/>
        <v>0</v>
      </c>
      <c r="T106" s="119">
        <f t="shared" si="27"/>
        <v>0</v>
      </c>
      <c r="U106" s="140" t="str">
        <f>IF(T106=1,IF(R106&gt;S106,I106&amp;VLOOKUP("win_suffix",langTable,MATCH(langName,_lang!$A$1:$F$1,0),FALSE()),IF(R106&lt;S106,J106&amp;VLOOKUP("win_suffix",langTable,MATCH(langName,_lang!$A$1:$F$1,0),FALSE()),IF(W106&lt;&gt;"",W106&amp;VLOOKUP("on_pens_suf",langTable,MATCH(langName,_lang!$A$1:$F$1,0),FALSE()),""))),"")</f>
        <v/>
      </c>
      <c r="V106" s="138" t="str">
        <f t="shared" si="32"/>
        <v>BBC / ITV (TBC)</v>
      </c>
      <c r="W106" s="261"/>
      <c r="X106" s="58">
        <v>46210.666666666657</v>
      </c>
      <c r="Y106" s="61" t="str">
        <f t="shared" si="33"/>
        <v/>
      </c>
      <c r="Z106" s="61" t="str">
        <f t="shared" si="34"/>
        <v/>
      </c>
      <c r="AA106" s="62">
        <f t="shared" ca="1" si="28"/>
        <v>95</v>
      </c>
      <c r="AB106" s="231"/>
      <c r="AC106" s="60" t="str">
        <f>IF(OR(AD106="",AE106="",LEFT(I106,3)="TBC",LEFT(J106,3)="TBC"),"",IFERROR(IF(COUNTIF(_h2h!$H$2:$H$94,AF106)=0,VLOOKUP("h2h_none",langTable,MATCH(langName,_lang!$A$1:$F$1,0),FALSE),IF(COUNTIF(_h2h!$H$2:$H$94,AF106)=1,"Met once · "&amp;INDEX(_h2h!$I$2:$I$94,MATCH(AF106,_h2h!$H$2:$H$94,0)),"Met "&amp;COUNTIF(_h2h!$H$2:$H$94,AF106)&amp;"× · last: "&amp;INDEX(_h2h!$I$2:$I$94,MATCH(AF106,_h2h!$H$2:$H$94,0)))),""))</f>
        <v/>
      </c>
      <c r="AD106" s="47" t="str">
        <f t="shared" si="29"/>
        <v/>
      </c>
      <c r="AE106" s="47" t="str">
        <f t="shared" si="30"/>
        <v/>
      </c>
      <c r="AF106" s="47" t="str">
        <f t="shared" si="31"/>
        <v/>
      </c>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row>
    <row r="107" spans="2:59" ht="15" customHeight="1">
      <c r="B107" s="57"/>
      <c r="C107" s="230"/>
      <c r="D107" s="112">
        <v>96</v>
      </c>
      <c r="E107" s="108" t="str">
        <f>DAY(X107+tzOffset/24)&amp;" "&amp;VLOOKUP("month_"&amp;MONTH(X107+tzOffset/24),langTable,MATCH(langName,_lang!$A$1:$F$1,0),FALSE())</f>
        <v>7 Jul</v>
      </c>
      <c r="F107" s="108" t="str">
        <f>VLOOKUP("dow_"&amp;IF(WEEKDAY(X107+tzOffset/24,2)=0,7,WEEKDAY(X107+tzOffset/24,2)),langTable,MATCH(langName,_lang!$A$1:$F$1,0),FALSE())</f>
        <v>Tue</v>
      </c>
      <c r="G107" s="108" t="str">
        <f t="shared" si="22"/>
        <v>21:00</v>
      </c>
      <c r="H107" s="112" t="s">
        <v>84</v>
      </c>
      <c r="I107" s="111" t="str">
        <f>IFERROR(IF(OR(LEN(Y96)&lt;5,LEFT(Y96,3)="TBC"),"TBC",Y96),"TBC")</f>
        <v>TBC</v>
      </c>
      <c r="J107" s="111" t="str">
        <f>IFERROR(IF(OR(LEN(Y98)&lt;5,LEFT(Y98,3)="TBC"),"TBC",Y98),"TBC")</f>
        <v>TBC</v>
      </c>
      <c r="K107" s="109" t="s">
        <v>34</v>
      </c>
      <c r="L107" s="109" t="str">
        <f t="shared" si="23"/>
        <v>Vancouver</v>
      </c>
      <c r="M107" s="110">
        <f t="shared" si="24"/>
        <v>54500</v>
      </c>
      <c r="N107" s="258"/>
      <c r="O107" s="259"/>
      <c r="P107" s="260"/>
      <c r="Q107" s="260"/>
      <c r="R107" s="154">
        <f t="shared" si="25"/>
        <v>0</v>
      </c>
      <c r="S107" s="155">
        <f t="shared" si="26"/>
        <v>0</v>
      </c>
      <c r="T107" s="119">
        <f t="shared" si="27"/>
        <v>0</v>
      </c>
      <c r="U107" s="140" t="str">
        <f>IF(T107=1,IF(R107&gt;S107,I107&amp;VLOOKUP("win_suffix",langTable,MATCH(langName,_lang!$A$1:$F$1,0),FALSE()),IF(R107&lt;S107,J107&amp;VLOOKUP("win_suffix",langTable,MATCH(langName,_lang!$A$1:$F$1,0),FALSE()),IF(W107&lt;&gt;"",W107&amp;VLOOKUP("on_pens_suf",langTable,MATCH(langName,_lang!$A$1:$F$1,0),FALSE()),""))),"")</f>
        <v/>
      </c>
      <c r="V107" s="138" t="str">
        <f t="shared" si="32"/>
        <v>BBC / ITV (TBC)</v>
      </c>
      <c r="W107" s="261"/>
      <c r="X107" s="58">
        <v>46210.833333333343</v>
      </c>
      <c r="Y107" s="61" t="str">
        <f t="shared" si="33"/>
        <v/>
      </c>
      <c r="Z107" s="61" t="str">
        <f t="shared" si="34"/>
        <v/>
      </c>
      <c r="AA107" s="62">
        <f t="shared" ca="1" si="28"/>
        <v>96</v>
      </c>
      <c r="AB107" s="231"/>
      <c r="AC107" s="60" t="str">
        <f>IF(OR(AD107="",AE107="",LEFT(I107,3)="TBC",LEFT(J107,3)="TBC"),"",IFERROR(IF(COUNTIF(_h2h!$H$2:$H$94,AF107)=0,VLOOKUP("h2h_none",langTable,MATCH(langName,_lang!$A$1:$F$1,0),FALSE),IF(COUNTIF(_h2h!$H$2:$H$94,AF107)=1,"Met once · "&amp;INDEX(_h2h!$I$2:$I$94,MATCH(AF107,_h2h!$H$2:$H$94,0)),"Met "&amp;COUNTIF(_h2h!$H$2:$H$94,AF107)&amp;"× · last: "&amp;INDEX(_h2h!$I$2:$I$94,MATCH(AF107,_h2h!$H$2:$H$94,0)))),""))</f>
        <v/>
      </c>
      <c r="AD107" s="47" t="str">
        <f t="shared" si="29"/>
        <v/>
      </c>
      <c r="AE107" s="47" t="str">
        <f t="shared" si="30"/>
        <v/>
      </c>
      <c r="AF107" s="47" t="str">
        <f t="shared" si="31"/>
        <v/>
      </c>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row>
    <row r="108" spans="2:59" ht="15" customHeight="1">
      <c r="B108" s="57"/>
      <c r="C108" s="230"/>
      <c r="D108" s="112">
        <v>97</v>
      </c>
      <c r="E108" s="108" t="str">
        <f>DAY(X108+tzOffset/24)&amp;" "&amp;VLOOKUP("month_"&amp;MONTH(X108+tzOffset/24),langTable,MATCH(langName,_lang!$A$1:$F$1,0),FALSE())</f>
        <v>9 Jul</v>
      </c>
      <c r="F108" s="108" t="str">
        <f>VLOOKUP("dow_"&amp;IF(WEEKDAY(X108+tzOffset/24,2)=0,7,WEEKDAY(X108+tzOffset/24,2)),langTable,MATCH(langName,_lang!$A$1:$F$1,0),FALSE())</f>
        <v>Thu</v>
      </c>
      <c r="G108" s="108" t="str">
        <f t="shared" ref="G108:G115" si="35">TEXT(X108+tzOffset/24,"hh:mm")</f>
        <v>21:00</v>
      </c>
      <c r="H108" s="112" t="s">
        <v>85</v>
      </c>
      <c r="I108" s="111" t="str">
        <f>IFERROR(IF(OR(LEN(Y100)&lt;5,LEFT(Y100,3)="TBC"),"TBC",Y100),"TBC")</f>
        <v>TBC</v>
      </c>
      <c r="J108" s="111" t="str">
        <f>IFERROR(IF(OR(LEN(Y101)&lt;5,LEFT(Y101,3)="TBC"),"TBC",Y101),"TBC")</f>
        <v>TBC</v>
      </c>
      <c r="K108" s="109" t="s">
        <v>31</v>
      </c>
      <c r="L108" s="109" t="str">
        <f t="shared" ref="L108:L139" si="36">VLOOKUP(K108,Stadiums_lookup,2,FALSE())</f>
        <v>Foxborough (Boston)</v>
      </c>
      <c r="M108" s="110">
        <f t="shared" ref="M108:M115" si="37">VLOOKUP(K108,Stadiums_lookup,4,FALSE())</f>
        <v>64628</v>
      </c>
      <c r="N108" s="258"/>
      <c r="O108" s="259"/>
      <c r="P108" s="260"/>
      <c r="Q108" s="260"/>
      <c r="R108" s="154">
        <f t="shared" ref="R108:R115" si="38">IF(ISNUMBER(P108),P108,IF(ISNUMBER(N108),N108,0))</f>
        <v>0</v>
      </c>
      <c r="S108" s="155">
        <f t="shared" ref="S108:S115" si="39">IF(ISNUMBER(Q108),Q108,IF(ISNUMBER(O108),O108,0))</f>
        <v>0</v>
      </c>
      <c r="T108" s="119">
        <f t="shared" ref="T108:T115" si="40">(ISNUMBER(N108)+ISNUMBER(P108)&gt;0)*(ISNUMBER(O108)+ISNUMBER(Q108)&gt;0)</f>
        <v>0</v>
      </c>
      <c r="U108" s="140" t="str">
        <f>IF(T108=1,IF(R108&gt;S108,I108&amp;VLOOKUP("win_suffix",langTable,MATCH(langName,_lang!$A$1:$F$1,0),FALSE()),IF(R108&lt;S108,J108&amp;VLOOKUP("win_suffix",langTable,MATCH(langName,_lang!$A$1:$F$1,0),FALSE()),IF(W108&lt;&gt;"",W108&amp;VLOOKUP("on_pens_suf",langTable,MATCH(langName,_lang!$A$1:$F$1,0),FALSE()),""))),"")</f>
        <v/>
      </c>
      <c r="V108" s="138" t="str">
        <f t="shared" si="32"/>
        <v>BBC / ITV (TBC)</v>
      </c>
      <c r="W108" s="261"/>
      <c r="X108" s="58">
        <v>46212.833333333343</v>
      </c>
      <c r="Y108" s="61" t="str">
        <f t="shared" si="33"/>
        <v/>
      </c>
      <c r="Z108" s="61" t="str">
        <f t="shared" si="34"/>
        <v/>
      </c>
      <c r="AA108" s="62">
        <f t="shared" ref="AA108:AA115" ca="1" si="41">IF(X108&gt;=NOW(),COUNTIFS($X$12:$X$115,"&gt;="&amp;NOW(),$X$12:$X$115,"&lt;"&amp;X108)+COUNTIFS($X$12:$X$115,"="&amp;X108,$D$12:$D$115,"&lt;"&amp;D108)+1,999)</f>
        <v>97</v>
      </c>
      <c r="AB108" s="231"/>
      <c r="AC108" s="60" t="str">
        <f>IF(OR(AD108="",AE108="",LEFT(I108,3)="TBC",LEFT(J108,3)="TBC"),"",IFERROR(IF(COUNTIF(_h2h!$H$2:$H$94,AF108)=0,VLOOKUP("h2h_none",langTable,MATCH(langName,_lang!$A$1:$F$1,0),FALSE),IF(COUNTIF(_h2h!$H$2:$H$94,AF108)=1,"Met once · "&amp;INDEX(_h2h!$I$2:$I$94,MATCH(AF108,_h2h!$H$2:$H$94,0)),"Met "&amp;COUNTIF(_h2h!$H$2:$H$94,AF108)&amp;"× · last: "&amp;INDEX(_h2h!$I$2:$I$94,MATCH(AF108,_h2h!$H$2:$H$94,0)))),""))</f>
        <v/>
      </c>
      <c r="AD108" s="47" t="str">
        <f t="shared" ref="AD108:AD115" si="42">IFERROR(TRIM(MID(I108,FIND(" ",I108)+1,999)),"")</f>
        <v/>
      </c>
      <c r="AE108" s="47" t="str">
        <f t="shared" ref="AE108:AE115" si="43">IFERROR(TRIM(MID(J108,FIND(" ",J108)+1,999)),"")</f>
        <v/>
      </c>
      <c r="AF108" s="47" t="str">
        <f t="shared" ref="AF108:AF139" si="44">IF(OR(AD108="",AE108=""),"",IF(AD108&lt;AE108,AD108&amp;"|"&amp;AE108,AE108&amp;"|"&amp;AD108))</f>
        <v/>
      </c>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row>
    <row r="109" spans="2:59" ht="15" customHeight="1">
      <c r="B109" s="57"/>
      <c r="C109" s="230"/>
      <c r="D109" s="112">
        <v>98</v>
      </c>
      <c r="E109" s="108" t="str">
        <f>DAY(X109+tzOffset/24)&amp;" "&amp;VLOOKUP("month_"&amp;MONTH(X109+tzOffset/24),langTable,MATCH(langName,_lang!$A$1:$F$1,0),FALSE())</f>
        <v>10 Jul</v>
      </c>
      <c r="F109" s="108" t="str">
        <f>VLOOKUP("dow_"&amp;IF(WEEKDAY(X109+tzOffset/24,2)=0,7,WEEKDAY(X109+tzOffset/24,2)),langTable,MATCH(langName,_lang!$A$1:$F$1,0),FALSE())</f>
        <v>Fri</v>
      </c>
      <c r="G109" s="108" t="str">
        <f t="shared" si="35"/>
        <v>20:00</v>
      </c>
      <c r="H109" s="112" t="s">
        <v>85</v>
      </c>
      <c r="I109" s="111" t="str">
        <f>IFERROR(IF(OR(LEN(Y104)&lt;5,LEFT(Y104,3)="TBC"),"TBC",Y104),"TBC")</f>
        <v>TBC</v>
      </c>
      <c r="J109" s="111" t="str">
        <f>IFERROR(IF(OR(LEN(Y105)&lt;5,LEFT(Y105,3)="TBC"),"TBC",Y105),"TBC")</f>
        <v>TBC</v>
      </c>
      <c r="K109" s="109" t="s">
        <v>21</v>
      </c>
      <c r="L109" s="109" t="str">
        <f t="shared" si="36"/>
        <v>Inglewood (Los Angeles)</v>
      </c>
      <c r="M109" s="110">
        <f t="shared" si="37"/>
        <v>70240</v>
      </c>
      <c r="N109" s="258"/>
      <c r="O109" s="259"/>
      <c r="P109" s="260"/>
      <c r="Q109" s="260"/>
      <c r="R109" s="154">
        <f t="shared" si="38"/>
        <v>0</v>
      </c>
      <c r="S109" s="155">
        <f t="shared" si="39"/>
        <v>0</v>
      </c>
      <c r="T109" s="119">
        <f t="shared" si="40"/>
        <v>0</v>
      </c>
      <c r="U109" s="140" t="str">
        <f>IF(T109=1,IF(R109&gt;S109,I109&amp;VLOOKUP("win_suffix",langTable,MATCH(langName,_lang!$A$1:$F$1,0),FALSE()),IF(R109&lt;S109,J109&amp;VLOOKUP("win_suffix",langTable,MATCH(langName,_lang!$A$1:$F$1,0),FALSE()),IF(W109&lt;&gt;"",W109&amp;VLOOKUP("on_pens_suf",langTable,MATCH(langName,_lang!$A$1:$F$1,0),FALSE()),""))),"")</f>
        <v/>
      </c>
      <c r="V109" s="138" t="str">
        <f t="shared" si="32"/>
        <v>BBC / ITV (TBC)</v>
      </c>
      <c r="W109" s="261"/>
      <c r="X109" s="58">
        <v>46213.791666666657</v>
      </c>
      <c r="Y109" s="61" t="str">
        <f t="shared" si="33"/>
        <v/>
      </c>
      <c r="Z109" s="61" t="str">
        <f t="shared" si="34"/>
        <v/>
      </c>
      <c r="AA109" s="62">
        <f t="shared" ca="1" si="41"/>
        <v>98</v>
      </c>
      <c r="AB109" s="231"/>
      <c r="AC109" s="60" t="str">
        <f>IF(OR(AD109="",AE109="",LEFT(I109,3)="TBC",LEFT(J109,3)="TBC"),"",IFERROR(IF(COUNTIF(_h2h!$H$2:$H$94,AF109)=0,VLOOKUP("h2h_none",langTable,MATCH(langName,_lang!$A$1:$F$1,0),FALSE),IF(COUNTIF(_h2h!$H$2:$H$94,AF109)=1,"Met once · "&amp;INDEX(_h2h!$I$2:$I$94,MATCH(AF109,_h2h!$H$2:$H$94,0)),"Met "&amp;COUNTIF(_h2h!$H$2:$H$94,AF109)&amp;"× · last: "&amp;INDEX(_h2h!$I$2:$I$94,MATCH(AF109,_h2h!$H$2:$H$94,0)))),""))</f>
        <v/>
      </c>
      <c r="AD109" s="47" t="str">
        <f t="shared" si="42"/>
        <v/>
      </c>
      <c r="AE109" s="47" t="str">
        <f t="shared" si="43"/>
        <v/>
      </c>
      <c r="AF109" s="47" t="str">
        <f t="shared" si="44"/>
        <v/>
      </c>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row>
    <row r="110" spans="2:59" ht="15" customHeight="1">
      <c r="B110" s="57"/>
      <c r="C110" s="230"/>
      <c r="D110" s="112">
        <v>99</v>
      </c>
      <c r="E110" s="108" t="str">
        <f>DAY(X110+tzOffset/24)&amp;" "&amp;VLOOKUP("month_"&amp;MONTH(X110+tzOffset/24),langTable,MATCH(langName,_lang!$A$1:$F$1,0),FALSE())</f>
        <v>11 Jul</v>
      </c>
      <c r="F110" s="108" t="str">
        <f>VLOOKUP("dow_"&amp;IF(WEEKDAY(X110+tzOffset/24,2)=0,7,WEEKDAY(X110+tzOffset/24,2)),langTable,MATCH(langName,_lang!$A$1:$F$1,0),FALSE())</f>
        <v>Sat</v>
      </c>
      <c r="G110" s="108" t="str">
        <f t="shared" si="35"/>
        <v>22:00</v>
      </c>
      <c r="H110" s="112" t="s">
        <v>85</v>
      </c>
      <c r="I110" s="111" t="str">
        <f>IFERROR(IF(OR(LEN(Y102)&lt;5,LEFT(Y102,3)="TBC"),"TBC",Y102),"TBC")</f>
        <v>TBC</v>
      </c>
      <c r="J110" s="111" t="str">
        <f>IFERROR(IF(OR(LEN(Y103)&lt;5,LEFT(Y103,3)="TBC"),"TBC",Y103),"TBC")</f>
        <v>TBC</v>
      </c>
      <c r="K110" s="109" t="s">
        <v>59</v>
      </c>
      <c r="L110" s="109" t="str">
        <f t="shared" si="36"/>
        <v>Miami Gardens</v>
      </c>
      <c r="M110" s="110">
        <f t="shared" si="37"/>
        <v>65326</v>
      </c>
      <c r="N110" s="258"/>
      <c r="O110" s="259"/>
      <c r="P110" s="260"/>
      <c r="Q110" s="260"/>
      <c r="R110" s="154">
        <f t="shared" si="38"/>
        <v>0</v>
      </c>
      <c r="S110" s="155">
        <f t="shared" si="39"/>
        <v>0</v>
      </c>
      <c r="T110" s="119">
        <f t="shared" si="40"/>
        <v>0</v>
      </c>
      <c r="U110" s="140" t="str">
        <f>IF(T110=1,IF(R110&gt;S110,I110&amp;VLOOKUP("win_suffix",langTable,MATCH(langName,_lang!$A$1:$F$1,0),FALSE()),IF(R110&lt;S110,J110&amp;VLOOKUP("win_suffix",langTable,MATCH(langName,_lang!$A$1:$F$1,0),FALSE()),IF(W110&lt;&gt;"",W110&amp;VLOOKUP("on_pens_suf",langTable,MATCH(langName,_lang!$A$1:$F$1,0),FALSE()),""))),"")</f>
        <v/>
      </c>
      <c r="V110" s="138" t="str">
        <f t="shared" si="32"/>
        <v>BBC / ITV (TBC)</v>
      </c>
      <c r="W110" s="261"/>
      <c r="X110" s="58">
        <v>46214.875</v>
      </c>
      <c r="Y110" s="61" t="str">
        <f t="shared" si="33"/>
        <v/>
      </c>
      <c r="Z110" s="61" t="str">
        <f t="shared" si="34"/>
        <v/>
      </c>
      <c r="AA110" s="62">
        <f t="shared" ca="1" si="41"/>
        <v>99</v>
      </c>
      <c r="AB110" s="231"/>
      <c r="AC110" s="60" t="str">
        <f>IF(OR(AD110="",AE110="",LEFT(I110,3)="TBC",LEFT(J110,3)="TBC"),"",IFERROR(IF(COUNTIF(_h2h!$H$2:$H$94,AF110)=0,VLOOKUP("h2h_none",langTable,MATCH(langName,_lang!$A$1:$F$1,0),FALSE),IF(COUNTIF(_h2h!$H$2:$H$94,AF110)=1,"Met once · "&amp;INDEX(_h2h!$I$2:$I$94,MATCH(AF110,_h2h!$H$2:$H$94,0)),"Met "&amp;COUNTIF(_h2h!$H$2:$H$94,AF110)&amp;"× · last: "&amp;INDEX(_h2h!$I$2:$I$94,MATCH(AF110,_h2h!$H$2:$H$94,0)))),""))</f>
        <v/>
      </c>
      <c r="AD110" s="47" t="str">
        <f t="shared" si="42"/>
        <v/>
      </c>
      <c r="AE110" s="47" t="str">
        <f t="shared" si="43"/>
        <v/>
      </c>
      <c r="AF110" s="47" t="str">
        <f t="shared" si="44"/>
        <v/>
      </c>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row>
    <row r="111" spans="2:59" ht="15" customHeight="1">
      <c r="B111" s="57"/>
      <c r="C111" s="230"/>
      <c r="D111" s="112">
        <v>100</v>
      </c>
      <c r="E111" s="108" t="str">
        <f>DAY(X111+tzOffset/24)&amp;" "&amp;VLOOKUP("month_"&amp;MONTH(X111+tzOffset/24),langTable,MATCH(langName,_lang!$A$1:$F$1,0),FALSE())</f>
        <v>12 Jul</v>
      </c>
      <c r="F111" s="108" t="str">
        <f>VLOOKUP("dow_"&amp;IF(WEEKDAY(X111+tzOffset/24,2)=0,7,WEEKDAY(X111+tzOffset/24,2)),langTable,MATCH(langName,_lang!$A$1:$F$1,0),FALSE())</f>
        <v>Sun</v>
      </c>
      <c r="G111" s="108" t="str">
        <f t="shared" si="35"/>
        <v>02:00</v>
      </c>
      <c r="H111" s="112" t="s">
        <v>85</v>
      </c>
      <c r="I111" s="111" t="str">
        <f>IFERROR(IF(OR(LEN(Y106)&lt;5,LEFT(Y106,3)="TBC"),"TBC",Y106),"TBC")</f>
        <v>TBC</v>
      </c>
      <c r="J111" s="111" t="str">
        <f>IFERROR(IF(OR(LEN(Y107)&lt;5,LEFT(Y107,3)="TBC"),"TBC",Y107),"TBC")</f>
        <v>TBC</v>
      </c>
      <c r="K111" s="109" t="s">
        <v>70</v>
      </c>
      <c r="L111" s="109" t="str">
        <f t="shared" si="36"/>
        <v>Kansas City</v>
      </c>
      <c r="M111" s="110">
        <f t="shared" si="37"/>
        <v>76416</v>
      </c>
      <c r="N111" s="258"/>
      <c r="O111" s="259"/>
      <c r="P111" s="260"/>
      <c r="Q111" s="260"/>
      <c r="R111" s="154">
        <f t="shared" si="38"/>
        <v>0</v>
      </c>
      <c r="S111" s="155">
        <f t="shared" si="39"/>
        <v>0</v>
      </c>
      <c r="T111" s="119">
        <f t="shared" si="40"/>
        <v>0</v>
      </c>
      <c r="U111" s="140" t="str">
        <f>IF(T111=1,IF(R111&gt;S111,I111&amp;VLOOKUP("win_suffix",langTable,MATCH(langName,_lang!$A$1:$F$1,0),FALSE()),IF(R111&lt;S111,J111&amp;VLOOKUP("win_suffix",langTable,MATCH(langName,_lang!$A$1:$F$1,0),FALSE()),IF(W111&lt;&gt;"",W111&amp;VLOOKUP("on_pens_suf",langTable,MATCH(langName,_lang!$A$1:$F$1,0),FALSE()),""))),"")</f>
        <v/>
      </c>
      <c r="V111" s="138" t="str">
        <f t="shared" si="32"/>
        <v>BBC / ITV (TBC)</v>
      </c>
      <c r="W111" s="261"/>
      <c r="X111" s="58">
        <v>46215.041666666657</v>
      </c>
      <c r="Y111" s="61" t="str">
        <f t="shared" si="33"/>
        <v/>
      </c>
      <c r="Z111" s="61" t="str">
        <f t="shared" si="34"/>
        <v/>
      </c>
      <c r="AA111" s="62">
        <f t="shared" ca="1" si="41"/>
        <v>100</v>
      </c>
      <c r="AB111" s="231"/>
      <c r="AC111" s="60" t="str">
        <f>IF(OR(AD111="",AE111="",LEFT(I111,3)="TBC",LEFT(J111,3)="TBC"),"",IFERROR(IF(COUNTIF(_h2h!$H$2:$H$94,AF111)=0,VLOOKUP("h2h_none",langTable,MATCH(langName,_lang!$A$1:$F$1,0),FALSE),IF(COUNTIF(_h2h!$H$2:$H$94,AF111)=1,"Met once · "&amp;INDEX(_h2h!$I$2:$I$94,MATCH(AF111,_h2h!$H$2:$H$94,0)),"Met "&amp;COUNTIF(_h2h!$H$2:$H$94,AF111)&amp;"× · last: "&amp;INDEX(_h2h!$I$2:$I$94,MATCH(AF111,_h2h!$H$2:$H$94,0)))),""))</f>
        <v/>
      </c>
      <c r="AD111" s="47" t="str">
        <f t="shared" si="42"/>
        <v/>
      </c>
      <c r="AE111" s="47" t="str">
        <f t="shared" si="43"/>
        <v/>
      </c>
      <c r="AF111" s="47" t="str">
        <f t="shared" si="44"/>
        <v/>
      </c>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row>
    <row r="112" spans="2:59" ht="15" customHeight="1">
      <c r="B112" s="57"/>
      <c r="C112" s="230"/>
      <c r="D112" s="112">
        <v>101</v>
      </c>
      <c r="E112" s="108" t="str">
        <f>DAY(X112+tzOffset/24)&amp;" "&amp;VLOOKUP("month_"&amp;MONTH(X112+tzOffset/24),langTable,MATCH(langName,_lang!$A$1:$F$1,0),FALSE())</f>
        <v>14 Jul</v>
      </c>
      <c r="F112" s="108" t="str">
        <f>VLOOKUP("dow_"&amp;IF(WEEKDAY(X112+tzOffset/24,2)=0,7,WEEKDAY(X112+tzOffset/24,2)),langTable,MATCH(langName,_lang!$A$1:$F$1,0),FALSE())</f>
        <v>Tue</v>
      </c>
      <c r="G112" s="108" t="str">
        <f t="shared" si="35"/>
        <v>20:00</v>
      </c>
      <c r="H112" s="112" t="s">
        <v>86</v>
      </c>
      <c r="I112" s="111" t="str">
        <f>IFERROR(IF(OR(LEN(Y108)&lt;5,LEFT(Y108,3)="TBC"),"TBC",Y108),"TBC")</f>
        <v>TBC</v>
      </c>
      <c r="J112" s="111" t="str">
        <f>IFERROR(IF(OR(LEN(Y109)&lt;5,LEFT(Y109,3)="TBC"),"TBC",Y109),"TBC")</f>
        <v>TBC</v>
      </c>
      <c r="K112" s="109" t="s">
        <v>42</v>
      </c>
      <c r="L112" s="109" t="str">
        <f t="shared" si="36"/>
        <v>Arlington (Dallas)</v>
      </c>
      <c r="M112" s="110">
        <f t="shared" si="37"/>
        <v>92967</v>
      </c>
      <c r="N112" s="258"/>
      <c r="O112" s="259"/>
      <c r="P112" s="260"/>
      <c r="Q112" s="260"/>
      <c r="R112" s="154">
        <f t="shared" si="38"/>
        <v>0</v>
      </c>
      <c r="S112" s="155">
        <f t="shared" si="39"/>
        <v>0</v>
      </c>
      <c r="T112" s="119">
        <f t="shared" si="40"/>
        <v>0</v>
      </c>
      <c r="U112" s="140" t="str">
        <f>IF(T112=1,IF(R112&gt;S112,I112&amp;VLOOKUP("win_suffix",langTable,MATCH(langName,_lang!$A$1:$F$1,0),FALSE()),IF(R112&lt;S112,J112&amp;VLOOKUP("win_suffix",langTable,MATCH(langName,_lang!$A$1:$F$1,0),FALSE()),IF(W112&lt;&gt;"",W112&amp;VLOOKUP("on_pens_suf",langTable,MATCH(langName,_lang!$A$1:$F$1,0),FALSE()),""))),"")</f>
        <v/>
      </c>
      <c r="V112" s="138" t="str">
        <f t="shared" si="32"/>
        <v>BBC / ITV (TBC)</v>
      </c>
      <c r="W112" s="261"/>
      <c r="X112" s="58">
        <v>46217.791666666657</v>
      </c>
      <c r="Y112" s="61" t="str">
        <f t="shared" si="33"/>
        <v/>
      </c>
      <c r="Z112" s="61" t="str">
        <f t="shared" si="34"/>
        <v/>
      </c>
      <c r="AA112" s="62">
        <f t="shared" ca="1" si="41"/>
        <v>101</v>
      </c>
      <c r="AB112" s="231"/>
      <c r="AC112" s="60" t="str">
        <f>IF(OR(AD112="",AE112="",LEFT(I112,3)="TBC",LEFT(J112,3)="TBC"),"",IFERROR(IF(COUNTIF(_h2h!$H$2:$H$94,AF112)=0,VLOOKUP("h2h_none",langTable,MATCH(langName,_lang!$A$1:$F$1,0),FALSE),IF(COUNTIF(_h2h!$H$2:$H$94,AF112)=1,"Met once · "&amp;INDEX(_h2h!$I$2:$I$94,MATCH(AF112,_h2h!$H$2:$H$94,0)),"Met "&amp;COUNTIF(_h2h!$H$2:$H$94,AF112)&amp;"× · last: "&amp;INDEX(_h2h!$I$2:$I$94,MATCH(AF112,_h2h!$H$2:$H$94,0)))),""))</f>
        <v/>
      </c>
      <c r="AD112" s="47" t="str">
        <f t="shared" si="42"/>
        <v/>
      </c>
      <c r="AE112" s="47" t="str">
        <f t="shared" si="43"/>
        <v/>
      </c>
      <c r="AF112" s="47" t="str">
        <f t="shared" si="44"/>
        <v/>
      </c>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row>
    <row r="113" spans="2:59" ht="15" customHeight="1">
      <c r="B113" s="57"/>
      <c r="C113" s="230"/>
      <c r="D113" s="112">
        <v>102</v>
      </c>
      <c r="E113" s="108" t="str">
        <f>DAY(X113+tzOffset/24)&amp;" "&amp;VLOOKUP("month_"&amp;MONTH(X113+tzOffset/24),langTable,MATCH(langName,_lang!$A$1:$F$1,0),FALSE())</f>
        <v>15 Jul</v>
      </c>
      <c r="F113" s="108" t="str">
        <f>VLOOKUP("dow_"&amp;IF(WEEKDAY(X113+tzOffset/24,2)=0,7,WEEKDAY(X113+tzOffset/24,2)),langTable,MATCH(langName,_lang!$A$1:$F$1,0),FALSE())</f>
        <v>Wed</v>
      </c>
      <c r="G113" s="108" t="str">
        <f t="shared" si="35"/>
        <v>20:00</v>
      </c>
      <c r="H113" s="112" t="s">
        <v>86</v>
      </c>
      <c r="I113" s="111" t="str">
        <f>IFERROR(IF(OR(LEN(Y110)&lt;5,LEFT(Y110,3)="TBC"),"TBC",Y110),"TBC")</f>
        <v>TBC</v>
      </c>
      <c r="J113" s="111" t="str">
        <f>IFERROR(IF(OR(LEN(Y111)&lt;5,LEFT(Y111,3)="TBC"),"TBC",Y111),"TBC")</f>
        <v>TBC</v>
      </c>
      <c r="K113" s="109" t="s">
        <v>52</v>
      </c>
      <c r="L113" s="109" t="str">
        <f t="shared" si="36"/>
        <v>Atlanta</v>
      </c>
      <c r="M113" s="110">
        <f t="shared" si="37"/>
        <v>71000</v>
      </c>
      <c r="N113" s="258"/>
      <c r="O113" s="259"/>
      <c r="P113" s="260"/>
      <c r="Q113" s="260"/>
      <c r="R113" s="154">
        <f t="shared" si="38"/>
        <v>0</v>
      </c>
      <c r="S113" s="155">
        <f t="shared" si="39"/>
        <v>0</v>
      </c>
      <c r="T113" s="119">
        <f t="shared" si="40"/>
        <v>0</v>
      </c>
      <c r="U113" s="140" t="str">
        <f>IF(T113=1,IF(R113&gt;S113,I113&amp;VLOOKUP("win_suffix",langTable,MATCH(langName,_lang!$A$1:$F$1,0),FALSE()),IF(R113&lt;S113,J113&amp;VLOOKUP("win_suffix",langTable,MATCH(langName,_lang!$A$1:$F$1,0),FALSE()),IF(W113&lt;&gt;"",W113&amp;VLOOKUP("on_pens_suf",langTable,MATCH(langName,_lang!$A$1:$F$1,0),FALSE()),""))),"")</f>
        <v/>
      </c>
      <c r="V113" s="138" t="str">
        <f t="shared" si="32"/>
        <v>BBC / ITV (TBC)</v>
      </c>
      <c r="W113" s="261"/>
      <c r="X113" s="58">
        <v>46218.791666666657</v>
      </c>
      <c r="Y113" s="61" t="str">
        <f t="shared" si="33"/>
        <v/>
      </c>
      <c r="Z113" s="61" t="str">
        <f t="shared" si="34"/>
        <v/>
      </c>
      <c r="AA113" s="62">
        <f t="shared" ca="1" si="41"/>
        <v>102</v>
      </c>
      <c r="AB113" s="231"/>
      <c r="AC113" s="60" t="str">
        <f>IF(OR(AD113="",AE113="",LEFT(I113,3)="TBC",LEFT(J113,3)="TBC"),"",IFERROR(IF(COUNTIF(_h2h!$H$2:$H$94,AF113)=0,VLOOKUP("h2h_none",langTable,MATCH(langName,_lang!$A$1:$F$1,0),FALSE),IF(COUNTIF(_h2h!$H$2:$H$94,AF113)=1,"Met once · "&amp;INDEX(_h2h!$I$2:$I$94,MATCH(AF113,_h2h!$H$2:$H$94,0)),"Met "&amp;COUNTIF(_h2h!$H$2:$H$94,AF113)&amp;"× · last: "&amp;INDEX(_h2h!$I$2:$I$94,MATCH(AF113,_h2h!$H$2:$H$94,0)))),""))</f>
        <v/>
      </c>
      <c r="AD113" s="47" t="str">
        <f t="shared" si="42"/>
        <v/>
      </c>
      <c r="AE113" s="47" t="str">
        <f t="shared" si="43"/>
        <v/>
      </c>
      <c r="AF113" s="47" t="str">
        <f t="shared" si="44"/>
        <v/>
      </c>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row>
    <row r="114" spans="2:59" ht="15" customHeight="1">
      <c r="B114" s="57"/>
      <c r="C114" s="230"/>
      <c r="D114" s="112">
        <v>103</v>
      </c>
      <c r="E114" s="108" t="str">
        <f>DAY(X114+tzOffset/24)&amp;" "&amp;VLOOKUP("month_"&amp;MONTH(X114+tzOffset/24),langTable,MATCH(langName,_lang!$A$1:$F$1,0),FALSE())</f>
        <v>18 Jul</v>
      </c>
      <c r="F114" s="108" t="str">
        <f>VLOOKUP("dow_"&amp;IF(WEEKDAY(X114+tzOffset/24,2)=0,7,WEEKDAY(X114+tzOffset/24,2)),langTable,MATCH(langName,_lang!$A$1:$F$1,0),FALSE())</f>
        <v>Sat</v>
      </c>
      <c r="G114" s="108" t="str">
        <f t="shared" si="35"/>
        <v>22:00</v>
      </c>
      <c r="H114" s="112" t="s">
        <v>87</v>
      </c>
      <c r="I114" s="111" t="str">
        <f>IFERROR(IF(OR(LEN(Z112)&lt;5,LEFT(Z112,3)="TBC"),"TBC",Z112),"TBC")</f>
        <v>TBC</v>
      </c>
      <c r="J114" s="111" t="str">
        <f>IFERROR(IF(OR(LEN(Z113)&lt;5,LEFT(Z113,3)="TBC"),"TBC",Z113),"TBC")</f>
        <v>TBC</v>
      </c>
      <c r="K114" s="109" t="s">
        <v>59</v>
      </c>
      <c r="L114" s="109" t="str">
        <f t="shared" si="36"/>
        <v>Miami Gardens</v>
      </c>
      <c r="M114" s="110">
        <f t="shared" si="37"/>
        <v>65326</v>
      </c>
      <c r="N114" s="258"/>
      <c r="O114" s="259"/>
      <c r="P114" s="260"/>
      <c r="Q114" s="260"/>
      <c r="R114" s="154">
        <f t="shared" si="38"/>
        <v>0</v>
      </c>
      <c r="S114" s="155">
        <f t="shared" si="39"/>
        <v>0</v>
      </c>
      <c r="T114" s="119">
        <f t="shared" si="40"/>
        <v>0</v>
      </c>
      <c r="U114" s="140" t="str">
        <f>IF(T114=1,IF(R114&gt;S114,I114&amp;VLOOKUP("win_suffix",langTable,MATCH(langName,_lang!$A$1:$F$1,0),FALSE()),IF(R114&lt;S114,J114&amp;VLOOKUP("win_suffix",langTable,MATCH(langName,_lang!$A$1:$F$1,0),FALSE()),IF(W114&lt;&gt;"",W114&amp;VLOOKUP("on_pens_suf",langTable,MATCH(langName,_lang!$A$1:$F$1,0),FALSE()),""))),"")</f>
        <v/>
      </c>
      <c r="V114" s="138" t="str">
        <f>IF(AND(tzCode="UK",langCode="EN"),"TBC","")</f>
        <v>TBC</v>
      </c>
      <c r="W114" s="261"/>
      <c r="X114" s="58">
        <v>46221.875</v>
      </c>
      <c r="Y114" s="61" t="str">
        <f t="shared" si="33"/>
        <v/>
      </c>
      <c r="Z114" s="61" t="str">
        <f t="shared" si="34"/>
        <v/>
      </c>
      <c r="AA114" s="62">
        <f t="shared" ca="1" si="41"/>
        <v>103</v>
      </c>
      <c r="AB114" s="231"/>
      <c r="AC114" s="60" t="str">
        <f>IF(OR(AD114="",AE114="",LEFT(I114,3)="TBC",LEFT(J114,3)="TBC"),"",IFERROR(IF(COUNTIF(_h2h!$H$2:$H$94,AF114)=0,VLOOKUP("h2h_none",langTable,MATCH(langName,_lang!$A$1:$F$1,0),FALSE),IF(COUNTIF(_h2h!$H$2:$H$94,AF114)=1,"Met once · "&amp;INDEX(_h2h!$I$2:$I$94,MATCH(AF114,_h2h!$H$2:$H$94,0)),"Met "&amp;COUNTIF(_h2h!$H$2:$H$94,AF114)&amp;"× · last: "&amp;INDEX(_h2h!$I$2:$I$94,MATCH(AF114,_h2h!$H$2:$H$94,0)))),""))</f>
        <v/>
      </c>
      <c r="AD114" s="47" t="str">
        <f t="shared" si="42"/>
        <v/>
      </c>
      <c r="AE114" s="47" t="str">
        <f t="shared" si="43"/>
        <v/>
      </c>
      <c r="AF114" s="47" t="str">
        <f t="shared" si="44"/>
        <v/>
      </c>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row>
    <row r="115" spans="2:59" ht="15" customHeight="1">
      <c r="B115" s="57"/>
      <c r="C115" s="230"/>
      <c r="D115" s="149">
        <v>104</v>
      </c>
      <c r="E115" s="150" t="str">
        <f>DAY(X115+tzOffset/24)&amp;" "&amp;VLOOKUP("month_"&amp;MONTH(X115+tzOffset/24),langTable,MATCH(langName,_lang!$A$1:$F$1,0),FALSE())</f>
        <v>19 Jul</v>
      </c>
      <c r="F115" s="150" t="str">
        <f>VLOOKUP("dow_"&amp;IF(WEEKDAY(X115+tzOffset/24,2)=0,7,WEEKDAY(X115+tzOffset/24,2)),langTable,MATCH(langName,_lang!$A$1:$F$1,0),FALSE())</f>
        <v>Sun</v>
      </c>
      <c r="G115" s="150" t="str">
        <f t="shared" si="35"/>
        <v>20:00</v>
      </c>
      <c r="H115" s="149" t="s">
        <v>88</v>
      </c>
      <c r="I115" s="151" t="str">
        <f>IFERROR(IF(OR(LEN(Y112)&lt;5,LEFT(Y112,3)="TBC"),"TBC",Y112),"TBC")</f>
        <v>TBC</v>
      </c>
      <c r="J115" s="151" t="str">
        <f>IFERROR(IF(OR(LEN(Y113)&lt;5,LEFT(Y113,3)="TBC"),"TBC",Y113),"TBC")</f>
        <v>TBC</v>
      </c>
      <c r="K115" s="109" t="s">
        <v>28</v>
      </c>
      <c r="L115" s="109" t="str">
        <f t="shared" si="36"/>
        <v>East Rutherford (NY/NJ)</v>
      </c>
      <c r="M115" s="110">
        <f t="shared" si="37"/>
        <v>82500</v>
      </c>
      <c r="N115" s="258"/>
      <c r="O115" s="259"/>
      <c r="P115" s="260"/>
      <c r="Q115" s="260"/>
      <c r="R115" s="156">
        <f t="shared" si="38"/>
        <v>0</v>
      </c>
      <c r="S115" s="157">
        <f t="shared" si="39"/>
        <v>0</v>
      </c>
      <c r="T115" s="152">
        <f t="shared" si="40"/>
        <v>0</v>
      </c>
      <c r="U115" s="153" t="str">
        <f>IF(T115=1,IF(R115&gt;S115,I115&amp;VLOOKUP("win_suffix",langTable,MATCH(langName,_lang!$A$1:$F$1,0),FALSE()),IF(R115&lt;S115,J115&amp;VLOOKUP("win_suffix",langTable,MATCH(langName,_lang!$A$1:$F$1,0),FALSE()),IF(W115&lt;&gt;"",W115&amp;VLOOKUP("on_pens_suf",langTable,MATCH(langName,_lang!$A$1:$F$1,0),FALSE()),""))),"")</f>
        <v/>
      </c>
      <c r="V115" s="148" t="str">
        <f>IF(AND(tzCode="UK",langCode="EN"),"BBC + ITV","")</f>
        <v>BBC + ITV</v>
      </c>
      <c r="W115" s="262"/>
      <c r="X115" s="58">
        <v>46222.791666666657</v>
      </c>
      <c r="Y115" s="61" t="str">
        <f t="shared" si="33"/>
        <v/>
      </c>
      <c r="Z115" s="61" t="str">
        <f t="shared" si="34"/>
        <v/>
      </c>
      <c r="AA115" s="62">
        <f t="shared" ca="1" si="41"/>
        <v>104</v>
      </c>
      <c r="AB115" s="231"/>
      <c r="AC115" s="60" t="str">
        <f>IF(OR(AD115="",AE115="",LEFT(I115,3)="TBC",LEFT(J115,3)="TBC"),"",IFERROR(IF(COUNTIF(_h2h!$H$2:$H$94,AF115)=0,VLOOKUP("h2h_none",langTable,MATCH(langName,_lang!$A$1:$F$1,0),FALSE),IF(COUNTIF(_h2h!$H$2:$H$94,AF115)=1,"Met once · "&amp;INDEX(_h2h!$I$2:$I$94,MATCH(AF115,_h2h!$H$2:$H$94,0)),"Met "&amp;COUNTIF(_h2h!$H$2:$H$94,AF115)&amp;"× · last: "&amp;INDEX(_h2h!$I$2:$I$94,MATCH(AF115,_h2h!$H$2:$H$94,0)))),""))</f>
        <v/>
      </c>
      <c r="AD115" s="47" t="str">
        <f t="shared" si="42"/>
        <v/>
      </c>
      <c r="AE115" s="47" t="str">
        <f t="shared" si="43"/>
        <v/>
      </c>
      <c r="AF115" s="47" t="str">
        <f t="shared" si="44"/>
        <v/>
      </c>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row>
    <row r="116" spans="2:59" ht="7.5" customHeight="1">
      <c r="B116" s="45"/>
      <c r="C116" s="45"/>
      <c r="D116" s="239"/>
      <c r="E116" s="239"/>
      <c r="F116" s="239"/>
      <c r="G116" s="239"/>
      <c r="H116" s="239"/>
      <c r="I116" s="239"/>
      <c r="J116" s="239"/>
      <c r="K116" s="239"/>
      <c r="L116" s="239"/>
      <c r="M116" s="239"/>
      <c r="N116" s="239"/>
      <c r="O116" s="239"/>
      <c r="P116" s="239"/>
      <c r="Q116" s="239"/>
      <c r="R116" s="239"/>
      <c r="S116" s="239"/>
      <c r="T116" s="239"/>
      <c r="U116" s="239"/>
      <c r="V116" s="239"/>
      <c r="W116" s="239"/>
      <c r="X116" s="45"/>
      <c r="Y116" s="45"/>
      <c r="Z116" s="45"/>
      <c r="AA116" s="45"/>
      <c r="AB116" s="47"/>
      <c r="AC116" s="47"/>
      <c r="AD116" s="47"/>
      <c r="AE116" s="47"/>
      <c r="AF116" s="47"/>
      <c r="AG116" s="47"/>
      <c r="AH116" s="47">
        <v>1</v>
      </c>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row>
    <row r="117" spans="2:59" ht="7.5" customHeight="1">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row>
    <row r="118" spans="2:59" ht="15.75" customHeight="1">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row>
    <row r="119" spans="2:59" ht="15.75" customHeight="1">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row>
    <row r="120" spans="2:59" ht="15.75" customHeight="1">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row>
    <row r="121" spans="2:59" ht="15.75" customHeight="1">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row>
    <row r="122" spans="2:59" ht="15.75" customHeight="1">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row>
    <row r="123" spans="2:59" ht="15.75" customHeight="1">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row>
    <row r="124" spans="2:59" ht="15.75" customHeight="1">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row>
    <row r="125" spans="2:59" ht="15.75" customHeight="1">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row>
    <row r="126" spans="2:59" ht="15.75" customHeight="1">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row>
    <row r="127" spans="2:59" ht="15.75" customHeight="1">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row>
    <row r="128" spans="2:59" ht="15.75" customHeight="1">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row>
    <row r="129" spans="2:59" ht="15.75" customHeight="1">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row>
    <row r="130" spans="2:59" ht="15.75" customHeight="1">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row>
    <row r="131" spans="2:59" ht="15.75" customHeight="1">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row>
    <row r="132" spans="2:59" ht="15.75" customHeight="1">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row>
    <row r="133" spans="2:59" ht="15.75" customHeight="1">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row>
    <row r="134" spans="2:59" ht="15.75" customHeight="1">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row>
    <row r="135" spans="2:59" ht="15.75" customHeight="1">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row>
    <row r="136" spans="2:59" ht="15.75" customHeight="1">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row>
    <row r="137" spans="2:59" ht="15.75" customHeight="1">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row>
    <row r="138" spans="2:59" ht="15.75" customHeight="1">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row>
    <row r="139" spans="2:59" ht="15.75" customHeight="1">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row>
    <row r="140" spans="2:59" ht="15.75" customHeight="1">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row>
    <row r="141" spans="2:59" ht="15.75" customHeight="1">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row>
    <row r="142" spans="2:59" ht="15.75" customHeight="1">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row>
    <row r="143" spans="2:59" ht="15.75" customHeight="1">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row>
    <row r="144" spans="2:59" ht="15.75" customHeight="1">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row>
    <row r="145" spans="2:59" ht="15.75" customHeight="1">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row>
    <row r="146" spans="2:59" ht="15.75" customHeight="1">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row>
    <row r="147" spans="2:59" ht="15.75" customHeight="1">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row>
    <row r="148" spans="2:59" ht="15.75" customHeight="1">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row>
    <row r="149" spans="2:59" ht="15.75" customHeight="1">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row>
    <row r="150" spans="2:59" ht="15.75" customHeight="1">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row>
    <row r="151" spans="2:59" ht="15.75" customHeight="1">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row>
    <row r="152" spans="2:59" ht="15.75" customHeight="1">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row>
    <row r="153" spans="2:59" ht="15.75" customHeight="1">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row>
    <row r="154" spans="2:59" ht="15.75" customHeight="1">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row>
    <row r="155" spans="2:59" ht="15.75" customHeight="1">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row>
    <row r="156" spans="2:59" ht="15.75" customHeight="1">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row>
    <row r="157" spans="2:59" ht="15.75" customHeight="1">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row>
    <row r="158" spans="2:59" ht="15.75" customHeight="1">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row>
    <row r="159" spans="2:59" ht="15.75" customHeight="1">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row>
    <row r="160" spans="2:59" ht="15.75" customHeight="1">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row>
    <row r="161" spans="2:59" ht="15.75" customHeight="1">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row>
    <row r="162" spans="2:59" ht="15.75" customHeight="1">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row>
    <row r="163" spans="2:59" ht="15.75" customHeight="1">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row>
    <row r="164" spans="2:59" ht="15.75" customHeight="1">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row>
    <row r="165" spans="2:59" ht="15.75" customHeight="1">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row>
    <row r="166" spans="2:59" ht="15.75" customHeight="1">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row>
    <row r="167" spans="2:59" ht="15.75" customHeight="1">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row>
    <row r="168" spans="2:59" ht="15.75" customHeight="1">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row>
    <row r="169" spans="2:59" ht="15.75" customHeight="1">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row>
    <row r="170" spans="2:59" ht="15.75" customHeight="1">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row>
    <row r="171" spans="2:59" ht="15.75" customHeight="1">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row>
    <row r="172" spans="2:59" ht="15.75" customHeight="1">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row>
    <row r="173" spans="2:59" ht="15.75" customHeight="1">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row>
    <row r="174" spans="2:59" ht="15.75" customHeight="1">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row>
    <row r="175" spans="2:59" ht="15.75" customHeight="1">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row>
    <row r="176" spans="2:59" ht="15.75" customHeight="1">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row>
    <row r="177" spans="2:59" ht="15.75" customHeight="1">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row>
    <row r="178" spans="2:59" ht="15.75" customHeight="1">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row>
    <row r="179" spans="2:59" ht="15.75" customHeight="1">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row>
    <row r="180" spans="2:59" ht="15.75" customHeight="1">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row>
    <row r="181" spans="2:59" ht="15.75" customHeight="1">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row>
    <row r="182" spans="2:59" ht="15.75" customHeight="1">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row>
    <row r="183" spans="2:59" ht="15.75" customHeight="1">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row>
    <row r="184" spans="2:59" ht="15.75" customHeight="1">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row>
    <row r="185" spans="2:59" ht="15.75" customHeight="1">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row>
    <row r="186" spans="2:59" ht="15.75" customHeight="1">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row>
    <row r="187" spans="2:59" ht="15.75" customHeight="1">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row>
    <row r="188" spans="2:59" ht="15.75" customHeight="1">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row>
    <row r="189" spans="2:59" ht="15.75" customHeight="1">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row>
    <row r="190" spans="2:59" ht="15.75" customHeight="1">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row>
    <row r="191" spans="2:59" ht="15.75" customHeight="1">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row>
    <row r="192" spans="2:59" ht="15.75" customHeight="1">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row>
    <row r="193" spans="2:59" ht="15.75" customHeight="1">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7"/>
      <c r="AC193" s="47"/>
      <c r="AD193" s="47"/>
      <c r="AE193" s="47"/>
      <c r="AF193" s="47"/>
      <c r="AG193" s="47"/>
      <c r="AH193" s="47"/>
      <c r="AI193" s="47"/>
      <c r="AJ193" s="47"/>
      <c r="AK193" s="47"/>
      <c r="AL193" s="47"/>
      <c r="AM193" s="47"/>
      <c r="AN193" s="47"/>
      <c r="AO193" s="47"/>
      <c r="AP193" s="47"/>
      <c r="AQ193" s="47"/>
      <c r="AR193" s="47"/>
      <c r="AS193" s="47"/>
      <c r="AT193" s="47">
        <v>1</v>
      </c>
      <c r="AU193" s="47"/>
      <c r="AV193" s="47"/>
      <c r="AW193" s="47"/>
      <c r="AX193" s="47"/>
      <c r="AY193" s="47"/>
      <c r="AZ193" s="47"/>
      <c r="BA193" s="47"/>
      <c r="BB193" s="47"/>
      <c r="BC193" s="47"/>
      <c r="BD193" s="47"/>
      <c r="BE193" s="47"/>
      <c r="BF193" s="47"/>
      <c r="BG193" s="47"/>
    </row>
    <row r="194" spans="2:59" ht="15.75" customHeight="1">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row>
    <row r="195" spans="2:59" ht="15.75" customHeight="1">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row>
    <row r="196" spans="2:59" ht="15.75" customHeight="1">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row>
    <row r="197" spans="2:59" ht="15.75" customHeight="1">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row>
    <row r="198" spans="2:59" ht="15.75" customHeight="1">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row>
    <row r="199" spans="2:59" ht="15.75" customHeight="1">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row>
    <row r="200" spans="2:59" ht="15.75" customHeight="1">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row>
    <row r="201" spans="2:59" ht="15.75" customHeight="1">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row>
    <row r="202" spans="2:59" ht="15.75" customHeight="1">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row>
    <row r="203" spans="2:59" ht="15.75" customHeight="1">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row>
    <row r="204" spans="2:59" ht="15.75" customHeight="1">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row>
    <row r="205" spans="2:59" ht="15.75" customHeight="1">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row>
    <row r="206" spans="2:59" ht="15.75" customHeight="1">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row>
    <row r="207" spans="2:59" ht="15.75" customHeight="1">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row>
    <row r="208" spans="2:59" ht="15.75" customHeight="1">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row>
    <row r="209" spans="2:59" ht="15.75" customHeight="1">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row>
    <row r="210" spans="2:59" ht="15.75" customHeight="1">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row>
    <row r="211" spans="2:59" ht="15.75" customHeight="1">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row>
    <row r="212" spans="2:59" ht="15.75" customHeight="1">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row>
    <row r="213" spans="2:59" ht="15.75" customHeight="1">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row>
    <row r="214" spans="2:59" ht="15.75" customHeight="1">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row>
    <row r="215" spans="2:59" ht="15.75" customHeight="1">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row>
    <row r="216" spans="2:59" ht="15.75" customHeight="1">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row>
    <row r="217" spans="2:59" ht="15.75" customHeight="1">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row>
    <row r="218" spans="2:59" ht="15.75" customHeight="1">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row>
    <row r="219" spans="2:59" ht="15.75" customHeight="1">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row>
    <row r="220" spans="2:59" ht="15.75" customHeight="1">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row>
    <row r="221" spans="2:59" ht="15.75" customHeight="1">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row>
    <row r="222" spans="2:59" ht="15.75" customHeight="1">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row>
    <row r="223" spans="2:59" ht="15.75" customHeight="1">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row>
    <row r="224" spans="2:59" ht="15.75" customHeight="1">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row>
    <row r="225" spans="2:59" ht="15.75" customHeight="1">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row>
    <row r="226" spans="2:59" ht="15.75" customHeight="1">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row>
    <row r="227" spans="2:59" ht="15.75" customHeight="1">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row>
    <row r="228" spans="2:59" ht="15.75" customHeight="1">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row>
    <row r="229" spans="2:59" ht="15.75" customHeight="1">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row>
    <row r="230" spans="2:59" ht="15.75" customHeight="1">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row>
    <row r="231" spans="2:59" ht="15.75" customHeight="1">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row>
    <row r="232" spans="2:59" ht="15.75" customHeight="1">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row>
    <row r="233" spans="2:59" ht="15.75" customHeight="1">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row>
    <row r="234" spans="2:59" ht="15.75" customHeight="1">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row>
    <row r="235" spans="2:59" ht="15.75" customHeight="1">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row>
    <row r="236" spans="2:59" ht="15.75" customHeight="1">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row>
    <row r="237" spans="2:59" ht="15.75" customHeight="1">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row>
    <row r="238" spans="2:59" ht="15.75" customHeight="1">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row>
    <row r="239" spans="2:59" ht="15.75" customHeight="1">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row>
    <row r="240" spans="2:59" ht="15.75" customHeight="1">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row>
    <row r="241" spans="2:59" ht="15.75" customHeight="1">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row>
    <row r="242" spans="2:59" ht="15.75" customHeight="1">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row>
    <row r="243" spans="2:59" ht="15.75" customHeight="1">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row>
    <row r="244" spans="2:59" ht="15.75" customHeight="1">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row>
    <row r="245" spans="2:59" ht="15.75" customHeight="1">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row>
    <row r="246" spans="2:59" ht="15.75" customHeight="1">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row>
    <row r="247" spans="2:59" ht="15.75" customHeight="1">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row>
    <row r="248" spans="2:59" ht="15.75" customHeight="1">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row>
    <row r="249" spans="2:59" ht="15.75" customHeight="1">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row>
    <row r="250" spans="2:59" ht="15.75" customHeight="1">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row>
    <row r="251" spans="2:59" ht="15.75" customHeight="1">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row>
    <row r="252" spans="2:59" ht="15.75" customHeight="1">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row>
    <row r="253" spans="2:59" ht="15.75" customHeight="1">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row>
    <row r="254" spans="2:59" ht="15.75" customHeight="1">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row>
    <row r="255" spans="2:59" ht="15.75" customHeight="1">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row>
    <row r="256" spans="2:59" ht="15.75" customHeight="1">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row>
    <row r="257" spans="2:59" ht="15.75" customHeight="1">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row>
    <row r="258" spans="2:59" ht="15.75" customHeight="1">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row>
    <row r="259" spans="2:59" ht="15.75" customHeight="1">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row>
    <row r="260" spans="2:59" ht="15.75" customHeight="1">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row>
    <row r="261" spans="2:59" ht="15.75" customHeight="1">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row>
    <row r="262" spans="2:59" ht="15.75" customHeight="1">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row>
    <row r="263" spans="2:59" ht="15.75" customHeight="1">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row>
    <row r="264" spans="2:59" ht="15.75" customHeight="1">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row>
    <row r="265" spans="2:59" ht="15.75" customHeight="1">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row>
    <row r="266" spans="2:59" ht="15.75" customHeight="1">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row>
    <row r="267" spans="2:59" ht="15.75" customHeight="1">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row>
    <row r="268" spans="2:59" ht="15.75" customHeight="1">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row>
    <row r="269" spans="2:59" ht="15.75" customHeight="1">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row>
    <row r="270" spans="2:59" ht="15.75" customHeight="1">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row>
    <row r="271" spans="2:59" ht="15.75" customHeight="1">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row>
    <row r="272" spans="2:59" ht="15.75" customHeight="1">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row>
    <row r="273" spans="2:59" ht="15.75" customHeight="1">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row>
    <row r="274" spans="2:59" ht="15.75" customHeight="1">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row>
    <row r="275" spans="2:59" ht="15.75" customHeight="1">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row>
    <row r="276" spans="2:59" ht="15.75" customHeight="1">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row>
    <row r="277" spans="2:59" ht="15.75" customHeight="1">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row>
    <row r="278" spans="2:59" ht="15.75" customHeight="1">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row>
    <row r="279" spans="2:59" ht="15.75" customHeight="1">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row>
    <row r="280" spans="2:59" ht="15.75" customHeight="1">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row>
    <row r="281" spans="2:59" ht="15.75" customHeight="1">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row>
    <row r="282" spans="2:59" ht="15.75" customHeight="1">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row>
    <row r="283" spans="2:59" ht="15.75" customHeight="1">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row>
    <row r="284" spans="2:59" ht="15.75" customHeight="1">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row>
    <row r="285" spans="2:59" ht="15.75" customHeight="1">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row>
    <row r="286" spans="2:59" ht="15.75" customHeight="1">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row>
    <row r="287" spans="2:59" ht="15.75" customHeight="1">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row>
    <row r="288" spans="2:59" ht="15.75" customHeight="1">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row>
    <row r="289" spans="2:59" ht="15.75" customHeight="1">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row>
    <row r="290" spans="2:59" ht="15.75" customHeight="1">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row>
    <row r="291" spans="2:59" ht="15.75" customHeight="1">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row>
    <row r="292" spans="2:59" ht="15.75" customHeight="1">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row>
    <row r="293" spans="2:59" ht="15.75" customHeight="1">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row>
    <row r="294" spans="2:59" ht="15.75" customHeight="1">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row>
    <row r="295" spans="2:59" ht="15.75" customHeight="1">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row>
    <row r="296" spans="2:59" ht="15.75" customHeight="1">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row>
    <row r="297" spans="2:59" ht="15.75" customHeight="1">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row>
    <row r="298" spans="2:59" ht="15.75" customHeight="1">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row>
    <row r="299" spans="2:59" ht="15.75" customHeight="1">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row>
    <row r="300" spans="2:59" ht="15.75" customHeight="1">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row>
    <row r="301" spans="2:59" ht="15.75" customHeight="1">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row>
    <row r="302" spans="2:59" ht="15.75" customHeight="1">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row>
    <row r="303" spans="2:59" ht="15.75" customHeight="1">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row>
    <row r="304" spans="2:59" ht="15.75" customHeight="1">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row>
    <row r="305" spans="2:59" ht="15.75" customHeight="1">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row>
    <row r="306" spans="2:59" ht="15.75" customHeight="1">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row>
    <row r="307" spans="2:59" ht="15.75" customHeight="1">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row>
    <row r="308" spans="2:59" ht="15.75" customHeight="1">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row>
    <row r="309" spans="2:59" ht="15.75" customHeight="1">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row>
    <row r="310" spans="2:59" ht="15.75" customHeight="1">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row>
    <row r="311" spans="2:59" ht="15.75" customHeight="1">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row>
    <row r="312" spans="2:59" ht="15.75" customHeight="1">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row>
    <row r="313" spans="2:59" ht="15.75" customHeight="1">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row>
    <row r="314" spans="2:59" ht="15.75" customHeight="1">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row>
    <row r="315" spans="2:59" ht="15.75" customHeight="1">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row>
    <row r="316" spans="2:59" ht="15.75" customHeight="1">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row>
    <row r="317" spans="2:59" ht="15.75" customHeight="1">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row>
    <row r="318" spans="2:59" ht="15.75" customHeight="1">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row>
    <row r="319" spans="2:59" ht="15.75" customHeight="1">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row>
    <row r="320" spans="2:59" ht="15.75" customHeight="1">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row>
    <row r="321" spans="2:59" ht="15.75" customHeight="1">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row>
    <row r="322" spans="2:59" ht="15.75" customHeight="1">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row>
    <row r="323" spans="2:59" ht="15.75" customHeight="1">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row>
    <row r="324" spans="2:59" ht="15.75" customHeight="1">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row>
    <row r="325" spans="2:59" ht="15.75" customHeight="1">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row>
    <row r="326" spans="2:59" ht="15.75" customHeight="1">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row>
    <row r="327" spans="2:59" ht="15.75" customHeight="1">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row>
    <row r="328" spans="2:59" ht="15.75" customHeight="1">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row>
    <row r="329" spans="2:59" ht="15.75" customHeight="1">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row>
    <row r="330" spans="2:59" ht="15.75" customHeight="1">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row>
    <row r="331" spans="2:59" ht="15.75" customHeight="1">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row>
    <row r="332" spans="2:59" ht="15.75" customHeight="1">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row>
    <row r="333" spans="2:59" ht="15.75" customHeight="1">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row>
    <row r="334" spans="2:59" ht="15.75" customHeight="1">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row>
    <row r="335" spans="2:59" ht="15.75" customHeight="1">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row>
    <row r="336" spans="2:59" ht="15.75" customHeight="1">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row>
    <row r="337" spans="2:59" ht="15.75" customHeight="1">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row>
    <row r="338" spans="2:59" ht="15.75" customHeight="1">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row>
    <row r="339" spans="2:59" ht="15.75" customHeight="1">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row>
    <row r="340" spans="2:59" ht="15.75" customHeight="1">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row>
    <row r="341" spans="2:59" ht="15.75" customHeight="1">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row>
    <row r="342" spans="2:59" ht="15.75" customHeight="1">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row>
    <row r="343" spans="2:59" ht="15.75" customHeight="1">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row>
    <row r="344" spans="2:59" ht="15.75" customHeight="1">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row>
    <row r="345" spans="2:59" ht="15.75" customHeight="1">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row>
    <row r="346" spans="2:59" ht="15.75" customHeight="1">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row>
    <row r="347" spans="2:59" ht="15.75" customHeight="1">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row>
    <row r="348" spans="2:59" ht="15.75" customHeight="1">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row>
    <row r="349" spans="2:59" ht="15.75" customHeight="1">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row>
    <row r="350" spans="2:59" ht="15.75" customHeight="1">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row>
    <row r="351" spans="2:59" ht="15.75" customHeight="1">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row>
    <row r="352" spans="2:59" ht="15.75" customHeight="1">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row>
    <row r="353" spans="2:59" ht="15.75" customHeight="1">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row>
    <row r="354" spans="2:59" ht="15.75" customHeight="1">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row>
    <row r="355" spans="2:59" ht="15.75" customHeight="1">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row>
    <row r="356" spans="2:59" ht="15.75" customHeight="1">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row>
    <row r="357" spans="2:59" ht="15.75" customHeight="1">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row>
    <row r="358" spans="2:59" ht="15.75" customHeight="1">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row>
    <row r="359" spans="2:59" ht="15.75" customHeight="1">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row>
    <row r="360" spans="2:59" ht="15.75" customHeight="1">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row>
    <row r="361" spans="2:59" ht="15.75" customHeight="1">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row>
    <row r="362" spans="2:59" ht="15.75" customHeight="1">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row>
    <row r="363" spans="2:59" ht="15.75" customHeight="1">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row>
    <row r="364" spans="2:59" ht="15.75" customHeight="1">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row>
    <row r="365" spans="2:59" ht="15.75" customHeight="1">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row>
    <row r="366" spans="2:59" ht="15.75" customHeight="1">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row>
    <row r="367" spans="2:59" ht="15.75" customHeight="1">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row>
    <row r="368" spans="2:59" ht="15.75" customHeight="1">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row>
    <row r="369" spans="2:59" ht="15.75" customHeight="1">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row>
    <row r="370" spans="2:59" ht="15.75" customHeight="1">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row>
    <row r="371" spans="2:59" ht="15.75" customHeight="1">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row>
    <row r="372" spans="2:59" ht="15.75" customHeight="1">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row>
    <row r="373" spans="2:59" ht="15.75" customHeight="1">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row>
    <row r="374" spans="2:59" ht="15.75" customHeight="1">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row>
    <row r="375" spans="2:59" ht="15.75" customHeight="1">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row>
    <row r="376" spans="2:59" ht="15.75" customHeight="1">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row>
    <row r="377" spans="2:59" ht="15.75" customHeight="1">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row>
    <row r="378" spans="2:59" ht="15.75" customHeight="1">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row>
    <row r="379" spans="2:59" ht="15.75" customHeight="1">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row>
    <row r="380" spans="2:59" ht="15.75" customHeight="1">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row>
    <row r="381" spans="2:59" ht="15.75" customHeight="1">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row>
    <row r="382" spans="2:59" ht="15.75" customHeight="1">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row>
    <row r="383" spans="2:59" ht="15.75" customHeight="1">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row>
    <row r="384" spans="2:59" ht="15.75" customHeight="1">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row>
    <row r="385" spans="2:59" ht="15.75" customHeight="1">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row>
    <row r="386" spans="2:59" ht="15.75" customHeight="1">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row>
    <row r="387" spans="2:59" ht="15.75" customHeight="1">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row>
    <row r="388" spans="2:59" ht="15.75" customHeight="1">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row>
    <row r="389" spans="2:59" ht="15.75" customHeight="1">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row>
    <row r="390" spans="2:59" ht="15.75" customHeight="1">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row>
    <row r="391" spans="2:59" ht="15.75" customHeight="1">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row>
    <row r="392" spans="2:59" ht="15.75" customHeight="1">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row>
    <row r="393" spans="2:59" ht="15.75" customHeight="1">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row>
    <row r="394" spans="2:59" ht="15.75" customHeight="1">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row>
    <row r="395" spans="2:59" ht="15.75" customHeight="1">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row>
    <row r="396" spans="2:59" ht="15.75" customHeight="1">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row>
    <row r="397" spans="2:59" ht="15.75" customHeight="1">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row>
    <row r="398" spans="2:59" ht="15.75" customHeight="1">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row>
    <row r="399" spans="2:59" ht="15.75" customHeight="1">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row>
    <row r="400" spans="2:59" ht="15.75" customHeight="1">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row>
    <row r="401" spans="2:59" ht="15.75" customHeight="1">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row>
    <row r="402" spans="2:59" ht="15.75" customHeight="1">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row>
    <row r="403" spans="2:59" ht="15.75" customHeight="1">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row>
    <row r="404" spans="2:59" ht="15.75" customHeight="1">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row>
    <row r="405" spans="2:59" ht="15.75" customHeight="1">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row>
    <row r="406" spans="2:59" ht="15.75" customHeight="1">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row>
    <row r="407" spans="2:59" ht="15.75" customHeight="1">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row>
    <row r="408" spans="2:59" ht="15.75" customHeight="1">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row>
    <row r="409" spans="2:59" ht="15.75" customHeight="1">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row>
    <row r="410" spans="2:59" ht="15.75" customHeight="1">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row>
    <row r="411" spans="2:59" ht="15.75" customHeight="1">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row>
    <row r="412" spans="2:59" ht="15.75" customHeight="1">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row>
    <row r="413" spans="2:59" ht="15.75" customHeight="1">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row>
    <row r="414" spans="2:59" ht="15.75" customHeight="1">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row>
    <row r="415" spans="2:59" ht="15.75" customHeight="1">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row>
    <row r="416" spans="2:59" ht="15.75" customHeight="1">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row>
    <row r="417" spans="2:59" ht="15.75" customHeight="1">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row>
    <row r="418" spans="2:59" ht="15.75" customHeight="1">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row>
    <row r="419" spans="2:59" ht="15.75" customHeight="1">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row>
    <row r="420" spans="2:59" ht="15.75" customHeight="1">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row>
    <row r="421" spans="2:59" ht="15.75" customHeight="1">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row>
    <row r="422" spans="2:59" ht="15.75" customHeight="1">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row>
    <row r="423" spans="2:59" ht="15.75" customHeight="1">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row>
    <row r="424" spans="2:59" ht="15.75" customHeight="1">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row>
    <row r="425" spans="2:59" ht="15.75" customHeight="1">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row>
    <row r="426" spans="2:59" ht="15.75" customHeight="1">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row>
    <row r="427" spans="2:59" ht="15.75" customHeight="1">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row>
    <row r="428" spans="2:59" ht="15.75" customHeight="1">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row>
    <row r="429" spans="2:59" ht="15.75" customHeight="1">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row>
    <row r="430" spans="2:59" ht="15.75" customHeight="1">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row>
    <row r="431" spans="2:59" ht="15.75" customHeight="1">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row>
    <row r="432" spans="2:59" ht="15.75" customHeight="1">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row>
    <row r="433" spans="2:59" ht="15.75" customHeight="1">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row>
    <row r="434" spans="2:59" ht="15.75" customHeight="1">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row>
    <row r="435" spans="2:59" ht="15.75" customHeight="1">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row>
    <row r="436" spans="2:59" ht="15.75" customHeight="1">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row>
    <row r="437" spans="2:59" ht="15.75" customHeight="1">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row>
    <row r="438" spans="2:59" ht="15.75" customHeight="1">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row>
    <row r="439" spans="2:59" ht="15.75" customHeight="1">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row>
    <row r="440" spans="2:59" ht="15.75" customHeight="1">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row>
    <row r="441" spans="2:59" ht="15.75" customHeight="1">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row>
    <row r="442" spans="2:59" ht="15.75" customHeight="1">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row>
    <row r="443" spans="2:59" ht="15.75" customHeight="1">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row>
    <row r="444" spans="2:59" ht="15.75" customHeight="1">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row>
    <row r="445" spans="2:59" ht="15.75" customHeight="1">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row>
    <row r="446" spans="2:59" ht="15.75" customHeight="1">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row>
    <row r="447" spans="2:59" ht="15.75" customHeight="1">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row>
    <row r="448" spans="2:59" ht="15.75" customHeight="1">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row>
    <row r="449" spans="2:59" ht="15.75" customHeight="1">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row>
    <row r="450" spans="2:59" ht="15.75" customHeight="1">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row>
    <row r="451" spans="2:59" ht="15.75" customHeight="1">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row>
    <row r="452" spans="2:59" ht="15.75" customHeight="1">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row>
    <row r="453" spans="2:59" ht="15.75" customHeight="1">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row>
    <row r="454" spans="2:59" ht="15.75" customHeight="1">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row>
    <row r="455" spans="2:59" ht="15.75" customHeight="1">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row>
    <row r="456" spans="2:59" ht="15.75" customHeight="1">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row>
    <row r="457" spans="2:59" ht="15.75" customHeight="1">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row>
    <row r="458" spans="2:59" ht="15.75" customHeight="1">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row>
    <row r="459" spans="2:59" ht="15.75" customHeight="1">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row>
    <row r="460" spans="2:59" ht="15.75" customHeight="1">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row>
    <row r="461" spans="2:59" ht="15.75" customHeight="1">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row>
    <row r="462" spans="2:59" ht="15.75" customHeight="1">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row>
    <row r="463" spans="2:59" ht="15.75" customHeight="1">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row>
    <row r="464" spans="2:59" ht="15.75" customHeight="1">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row>
    <row r="465" spans="2:59" ht="15.75" customHeight="1">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row>
    <row r="466" spans="2:59" ht="15.75" customHeight="1">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row>
    <row r="467" spans="2:59" ht="15.75" customHeight="1">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row>
    <row r="468" spans="2:59" ht="15.75" customHeight="1">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row>
    <row r="469" spans="2:59" ht="15.75" customHeight="1">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row>
    <row r="470" spans="2:59" ht="15.75" customHeight="1">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row>
    <row r="471" spans="2:59" ht="15.75" customHeight="1">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row>
    <row r="472" spans="2:59" ht="15.75" customHeight="1">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row>
    <row r="473" spans="2:59" ht="15.75" customHeight="1">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row>
    <row r="474" spans="2:59" ht="15.75" customHeight="1">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row>
    <row r="475" spans="2:59" ht="15.75" customHeight="1">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row>
    <row r="476" spans="2:59" ht="15.75" customHeight="1">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row>
    <row r="477" spans="2:59" ht="15.75" customHeight="1">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row>
    <row r="478" spans="2:59" ht="15.75" customHeight="1">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row>
    <row r="479" spans="2:59" ht="15.75" customHeight="1">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row>
    <row r="480" spans="2:59" ht="15.75" customHeight="1">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row>
    <row r="481" spans="2:59" ht="15.75" customHeight="1">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row>
    <row r="482" spans="2:59" ht="15.75" customHeight="1">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row>
    <row r="483" spans="2:59" ht="15.75" customHeight="1">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row>
    <row r="484" spans="2:59" ht="15.75" customHeight="1">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row>
    <row r="485" spans="2:59" ht="15.75" customHeight="1">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row>
    <row r="486" spans="2:59" ht="15.75" customHeight="1">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row>
    <row r="487" spans="2:59" ht="15.75" customHeight="1">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row>
    <row r="488" spans="2:59" ht="15.75" customHeight="1">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row>
    <row r="489" spans="2:59" ht="15.75" customHeight="1">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row>
    <row r="490" spans="2:59" ht="15.75" customHeight="1">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row>
    <row r="491" spans="2:59" ht="15.75" customHeight="1">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row>
    <row r="492" spans="2:59" ht="15.75" customHeight="1">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row>
    <row r="493" spans="2:59" ht="15.75" customHeight="1">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row>
    <row r="494" spans="2:59" ht="15.75" customHeight="1">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row>
    <row r="495" spans="2:59" ht="15.75" customHeight="1">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row>
    <row r="496" spans="2:59" ht="15.75" customHeight="1">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row>
    <row r="497" spans="2:59" ht="15.75" customHeight="1">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row>
    <row r="498" spans="2:59" ht="15.75" customHeight="1">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row>
    <row r="499" spans="2:59" ht="15.75" customHeight="1">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row>
    <row r="500" spans="2:59" ht="15.75" customHeight="1">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row>
    <row r="501" spans="2:59" ht="15.75" customHeight="1">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row>
    <row r="502" spans="2:59" ht="15.75" customHeight="1">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row>
    <row r="503" spans="2:59" ht="15.75" customHeight="1">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row>
    <row r="504" spans="2:59" ht="15.75" customHeight="1">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row>
    <row r="505" spans="2:59" ht="15.75" customHeight="1">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row>
    <row r="506" spans="2:59" ht="15.75" customHeight="1">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row>
    <row r="507" spans="2:59" ht="15.75" customHeight="1">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row>
    <row r="508" spans="2:59" ht="15.75" customHeight="1">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row>
    <row r="509" spans="2:59" ht="15.75" customHeight="1">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row>
    <row r="510" spans="2:59" ht="15.75" customHeight="1">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row>
    <row r="511" spans="2:59" ht="15.75" customHeight="1">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row>
    <row r="512" spans="2:59" ht="15.75" customHeight="1">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row>
    <row r="513" spans="2:59" ht="15.75" customHeight="1">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row>
    <row r="514" spans="2:59" ht="15.75" customHeight="1">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row>
    <row r="515" spans="2:59" ht="15.75" customHeight="1">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row>
    <row r="516" spans="2:59" ht="15.75" customHeight="1">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row>
    <row r="517" spans="2:59" ht="15.75" customHeight="1">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row>
    <row r="518" spans="2:59" ht="15.75" customHeight="1">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row>
    <row r="519" spans="2:59" ht="15.75" customHeight="1">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row>
    <row r="520" spans="2:59" ht="15.75" customHeight="1">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row>
    <row r="521" spans="2:59" ht="15.75" customHeight="1">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row>
    <row r="522" spans="2:59" ht="15.75" customHeight="1">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row>
    <row r="523" spans="2:59" ht="15.75" customHeight="1">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row>
    <row r="524" spans="2:59" ht="15.75" customHeight="1">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c r="BC524" s="47"/>
      <c r="BD524" s="47"/>
      <c r="BE524" s="47"/>
      <c r="BF524" s="47"/>
      <c r="BG524" s="47"/>
    </row>
    <row r="525" spans="2:59" ht="15.75" customHeight="1">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47"/>
      <c r="BD525" s="47"/>
      <c r="BE525" s="47"/>
      <c r="BF525" s="47"/>
      <c r="BG525" s="47"/>
    </row>
    <row r="526" spans="2:59" ht="15.75" customHeight="1">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c r="BC526" s="47"/>
      <c r="BD526" s="47"/>
      <c r="BE526" s="47"/>
      <c r="BF526" s="47"/>
      <c r="BG526" s="47"/>
    </row>
    <row r="527" spans="2:59" ht="15.75" customHeight="1">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c r="BC527" s="47"/>
      <c r="BD527" s="47"/>
      <c r="BE527" s="47"/>
      <c r="BF527" s="47"/>
      <c r="BG527" s="47"/>
    </row>
    <row r="528" spans="2:59" ht="15.75" customHeight="1">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row>
    <row r="529" spans="2:59" ht="15.75" customHeight="1">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row>
    <row r="530" spans="2:59" ht="15.75" customHeight="1">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row>
    <row r="531" spans="2:59" ht="15.75" customHeight="1">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row>
    <row r="532" spans="2:59" ht="15.75" customHeight="1">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row>
    <row r="533" spans="2:59" ht="15.75" customHeight="1">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row>
    <row r="534" spans="2:59" ht="15.75" customHeight="1">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row>
    <row r="535" spans="2:59" ht="15.75" customHeight="1">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row>
    <row r="536" spans="2:59" ht="15.75" customHeight="1">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row>
    <row r="537" spans="2:59" ht="15.75" customHeight="1">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row>
    <row r="538" spans="2:59" ht="15.75" customHeight="1">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row>
    <row r="539" spans="2:59" ht="15.75" customHeight="1">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row>
    <row r="540" spans="2:59" ht="15.75" customHeight="1">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row>
    <row r="541" spans="2:59" ht="15.75" customHeight="1">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row>
    <row r="542" spans="2:59" ht="15.75" customHeight="1">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row>
    <row r="543" spans="2:59" ht="15.75" customHeight="1">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row>
    <row r="544" spans="2:59" ht="15.75" customHeight="1">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row>
    <row r="545" spans="2:59" ht="15.75" customHeight="1">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row>
    <row r="546" spans="2:59" ht="15.75" customHeight="1">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row>
    <row r="547" spans="2:59" ht="15.75" customHeight="1">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row>
    <row r="548" spans="2:59" ht="15.75" customHeight="1">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row>
    <row r="549" spans="2:59" ht="15.75" customHeight="1">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row>
    <row r="550" spans="2:59" ht="15.75" customHeight="1">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row>
    <row r="551" spans="2:59" ht="15.75" customHeight="1">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row>
    <row r="552" spans="2:59" ht="15.75" customHeight="1">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row>
    <row r="553" spans="2:59" ht="15.75" customHeight="1">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row>
    <row r="554" spans="2:59" ht="15.75" customHeight="1">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row>
    <row r="555" spans="2:59" ht="15.75" customHeight="1">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row>
    <row r="556" spans="2:59" ht="15.75" customHeight="1">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row>
    <row r="557" spans="2:59" ht="15.75" customHeight="1">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row>
    <row r="558" spans="2:59" ht="15.75" customHeight="1">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row>
    <row r="559" spans="2:59" ht="15.75" customHeight="1">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row>
    <row r="560" spans="2:59" ht="15.75" customHeight="1">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row>
    <row r="561" spans="2:59" ht="15.75" customHeight="1">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row>
    <row r="562" spans="2:59" ht="15.75" customHeight="1">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row>
    <row r="563" spans="2:59" ht="15.75" customHeight="1">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row>
    <row r="564" spans="2:59" ht="15.75" customHeight="1">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row>
    <row r="565" spans="2:59" ht="15.75" customHeight="1">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row>
    <row r="566" spans="2:59" ht="15.75" customHeight="1">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row>
    <row r="567" spans="2:59" ht="15.75" customHeight="1">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row>
    <row r="568" spans="2:59" ht="15.75" customHeight="1">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row>
    <row r="569" spans="2:59" ht="15.75" customHeight="1">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row>
    <row r="570" spans="2:59" ht="15.75" customHeight="1">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row>
    <row r="571" spans="2:59" ht="15.75" customHeight="1">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row>
    <row r="572" spans="2:59" ht="15.75" customHeight="1">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row>
    <row r="573" spans="2:59" ht="15.75" customHeight="1">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row>
    <row r="574" spans="2:59" ht="15.75" customHeight="1">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row>
    <row r="575" spans="2:59" ht="15.75" customHeight="1">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row>
    <row r="576" spans="2:59" ht="15.75" customHeight="1">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row>
    <row r="577" spans="2:59" ht="15.75" customHeight="1">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row>
    <row r="578" spans="2:59" ht="15.75" customHeight="1">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row>
    <row r="579" spans="2:59" ht="15.75" customHeight="1">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row>
    <row r="580" spans="2:59" ht="15.75" customHeight="1">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row>
    <row r="581" spans="2:59" ht="15.75" customHeight="1">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row>
    <row r="582" spans="2:59" ht="15.75" customHeight="1">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row>
    <row r="583" spans="2:59" ht="15.75" customHeight="1">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row>
    <row r="584" spans="2:59" ht="15.75" customHeight="1">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row>
    <row r="585" spans="2:59" ht="15.75" customHeight="1">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row>
    <row r="586" spans="2:59" ht="15.75" customHeight="1">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row>
    <row r="587" spans="2:59" ht="15.75" customHeight="1">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row>
    <row r="588" spans="2:59" ht="15.75" customHeight="1">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row>
    <row r="589" spans="2:59" ht="15.75" customHeight="1">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row>
    <row r="590" spans="2:59" ht="15.75" customHeight="1">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row>
    <row r="591" spans="2:59" ht="15.75" customHeight="1">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row>
    <row r="592" spans="2:59" ht="15.75" customHeight="1">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row>
    <row r="593" spans="2:59" ht="15.75" customHeight="1">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row>
    <row r="594" spans="2:59" ht="15.75" customHeight="1">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row>
    <row r="595" spans="2:59" ht="15.75" customHeight="1">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row>
    <row r="596" spans="2:59" ht="15.75" customHeight="1">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row>
    <row r="597" spans="2:59" ht="15.75" customHeight="1">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row>
    <row r="598" spans="2:59" ht="15.75" customHeight="1">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row>
    <row r="599" spans="2:59" ht="15.75" customHeight="1">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row>
    <row r="600" spans="2:59" ht="15.75" customHeight="1">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row>
    <row r="601" spans="2:59" ht="15.75" customHeight="1">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row>
    <row r="602" spans="2:59" ht="15.75" customHeight="1">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row>
    <row r="603" spans="2:59" ht="15.75" customHeight="1">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row>
    <row r="604" spans="2:59" ht="15.75" customHeight="1">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row>
    <row r="605" spans="2:59" ht="15.75" customHeight="1">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row>
    <row r="606" spans="2:59" ht="15.75" customHeight="1">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row>
    <row r="607" spans="2:59" ht="15.75" customHeight="1">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row>
    <row r="608" spans="2:59" ht="15.75" customHeight="1">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row>
    <row r="609" spans="2:59" ht="15.75" customHeight="1">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row>
    <row r="610" spans="2:59" ht="15.75" customHeight="1">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row>
    <row r="611" spans="2:59" ht="15.75" customHeight="1">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row>
    <row r="612" spans="2:59" ht="15.75" customHeight="1">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row>
    <row r="613" spans="2:59" ht="15.75" customHeight="1">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row>
    <row r="614" spans="2:59" ht="15.75" customHeight="1">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row>
    <row r="615" spans="2:59" ht="15.75" customHeight="1">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row>
    <row r="616" spans="2:59" ht="15.75" customHeight="1">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row>
    <row r="617" spans="2:59" ht="15.75" customHeight="1">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row>
    <row r="618" spans="2:59" ht="15.75" customHeight="1">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row>
    <row r="619" spans="2:59" ht="15.75" customHeight="1">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row>
    <row r="620" spans="2:59" ht="15.75" customHeight="1">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row>
    <row r="621" spans="2:59" ht="15.75" customHeight="1">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row>
    <row r="622" spans="2:59" ht="15.75" customHeight="1">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row>
    <row r="623" spans="2:59" ht="15.75" customHeight="1">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row>
    <row r="624" spans="2:59" ht="15.75" customHeight="1">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row>
    <row r="625" spans="2:59" ht="15.75" customHeight="1">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row>
    <row r="626" spans="2:59" ht="15.75" customHeight="1">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row>
    <row r="627" spans="2:59" ht="15.75" customHeight="1">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c r="BF627" s="47"/>
      <c r="BG627" s="47"/>
    </row>
    <row r="628" spans="2:59" ht="15.75" customHeight="1">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c r="BF628" s="47"/>
      <c r="BG628" s="47"/>
    </row>
    <row r="629" spans="2:59" ht="15.75" customHeight="1">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row>
    <row r="630" spans="2:59" ht="15.75" customHeight="1">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row>
    <row r="631" spans="2:59" ht="15.75" customHeight="1">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row>
    <row r="632" spans="2:59" ht="15.75" customHeight="1">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row>
    <row r="633" spans="2:59" ht="15.75" customHeight="1">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row>
    <row r="634" spans="2:59" ht="15.75" customHeight="1">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row>
    <row r="635" spans="2:59" ht="15.75" customHeight="1">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row>
    <row r="636" spans="2:59" ht="15.75" customHeight="1">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row>
    <row r="637" spans="2:59" ht="15.75" customHeight="1">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row>
    <row r="638" spans="2:59" ht="15.75" customHeight="1">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row>
    <row r="639" spans="2:59" ht="15.75" customHeight="1">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row>
    <row r="640" spans="2:59" ht="15.75" customHeight="1">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row>
    <row r="641" spans="2:59" ht="15.75" customHeight="1">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row>
    <row r="642" spans="2:59" ht="15.75" customHeight="1">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row>
    <row r="643" spans="2:59" ht="15.75" customHeight="1">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row>
    <row r="644" spans="2:59" ht="15.75" customHeight="1">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row>
    <row r="645" spans="2:59" ht="15.75" customHeight="1">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row>
    <row r="646" spans="2:59" ht="15.75" customHeight="1">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row>
    <row r="647" spans="2:59" ht="15.75" customHeight="1">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row>
    <row r="648" spans="2:59" ht="15.75" customHeight="1">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row>
    <row r="649" spans="2:59" ht="15.75" customHeight="1">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row>
    <row r="650" spans="2:59" ht="15.75" customHeight="1">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row>
    <row r="651" spans="2:59" ht="15.75" customHeight="1">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row>
    <row r="652" spans="2:59" ht="15.75" customHeight="1">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row>
    <row r="653" spans="2:59" ht="15.75" customHeight="1">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row>
    <row r="654" spans="2:59" ht="15.75" customHeight="1">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row>
    <row r="655" spans="2:59" ht="15.75" customHeight="1">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row>
    <row r="656" spans="2:59" ht="15.75" customHeight="1">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row>
    <row r="657" spans="2:59" ht="15.75" customHeight="1">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row>
    <row r="658" spans="2:59" ht="15.75" customHeight="1">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row>
    <row r="659" spans="2:59" ht="15.75" customHeight="1">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row>
    <row r="660" spans="2:59" ht="15.75" customHeight="1">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row>
    <row r="661" spans="2:59" ht="15.75" customHeight="1">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row>
    <row r="662" spans="2:59" ht="15.75" customHeight="1">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row>
    <row r="663" spans="2:59" ht="15.75" customHeight="1">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row>
    <row r="664" spans="2:59" ht="15.75" customHeight="1">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row>
    <row r="665" spans="2:59" ht="15.75" customHeight="1">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row>
    <row r="666" spans="2:59" ht="15.75" customHeight="1">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row>
    <row r="667" spans="2:59" ht="15.75" customHeight="1">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row>
    <row r="668" spans="2:59" ht="15.75" customHeight="1">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row>
    <row r="669" spans="2:59" ht="15.75" customHeight="1">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row>
    <row r="670" spans="2:59" ht="15.75" customHeight="1">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row>
    <row r="671" spans="2:59" ht="15.75" customHeight="1">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row>
    <row r="672" spans="2:59" ht="15.75" customHeight="1">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row>
    <row r="673" spans="2:59" ht="15.75" customHeight="1">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row>
    <row r="674" spans="2:59" ht="15.75" customHeight="1">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row>
    <row r="675" spans="2:59" ht="15.75" customHeight="1">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row>
    <row r="676" spans="2:59" ht="15.75" customHeight="1">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row>
    <row r="677" spans="2:59" ht="15.75" customHeight="1">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row>
    <row r="678" spans="2:59" ht="15.75" customHeight="1">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row>
    <row r="679" spans="2:59" ht="15.75" customHeight="1">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row>
    <row r="680" spans="2:59" ht="15.75" customHeight="1">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row>
    <row r="681" spans="2:59" ht="15.75" customHeight="1">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row>
    <row r="682" spans="2:59" ht="15.75" customHeight="1">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row>
    <row r="683" spans="2:59" ht="15.75" customHeight="1">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row>
    <row r="684" spans="2:59" ht="15.75" customHeight="1">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row>
    <row r="685" spans="2:59" ht="15.75" customHeight="1">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row>
    <row r="686" spans="2:59" ht="15.75" customHeight="1">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row>
    <row r="687" spans="2:59" ht="15.75" customHeight="1">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row>
    <row r="688" spans="2:59" ht="15.75" customHeight="1">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row>
    <row r="689" spans="2:59" ht="15.75" customHeight="1">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row>
    <row r="690" spans="2:59" ht="15.75" customHeight="1">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row>
    <row r="691" spans="2:59" ht="15.75" customHeight="1">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row>
    <row r="692" spans="2:59" ht="15.75" customHeight="1">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row>
    <row r="693" spans="2:59" ht="15.75" customHeight="1">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row>
    <row r="694" spans="2:59" ht="15.75" customHeight="1">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row>
    <row r="695" spans="2:59" ht="15.75" customHeight="1">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row>
    <row r="696" spans="2:59" ht="15.75" customHeight="1">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row>
    <row r="697" spans="2:59" ht="15.75" customHeight="1">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row>
    <row r="698" spans="2:59" ht="15.75" customHeight="1">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row>
    <row r="699" spans="2:59" ht="15.75" customHeight="1">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row>
    <row r="700" spans="2:59" ht="15.75" customHeight="1">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row>
    <row r="701" spans="2:59" ht="15.75" customHeight="1">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row>
    <row r="702" spans="2:59" ht="15.75" customHeight="1">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row>
    <row r="703" spans="2:59" ht="15.75" customHeight="1">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row>
    <row r="704" spans="2:59" ht="15.75" customHeight="1">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row>
    <row r="705" spans="2:59" ht="15.75" customHeight="1">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row>
    <row r="706" spans="2:59" ht="15.75" customHeight="1">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row>
    <row r="707" spans="2:59" ht="15.75" customHeight="1">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row>
    <row r="708" spans="2:59" ht="15.75" customHeight="1">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row>
    <row r="709" spans="2:59" ht="15.75" customHeight="1">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row>
    <row r="710" spans="2:59" ht="15.75" customHeight="1">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row>
    <row r="711" spans="2:59" ht="15.75" customHeight="1">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row>
    <row r="712" spans="2:59" ht="15.75" customHeight="1">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row>
    <row r="713" spans="2:59" ht="15.75" customHeight="1">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row>
    <row r="714" spans="2:59" ht="15.75" customHeight="1">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row>
    <row r="715" spans="2:59" ht="15.75" customHeight="1">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row>
    <row r="716" spans="2:59" ht="15.75" customHeight="1">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row>
    <row r="717" spans="2:59" ht="15.75" customHeight="1">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row>
    <row r="718" spans="2:59" ht="15.75" customHeight="1">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row>
    <row r="719" spans="2:59" ht="15.75" customHeight="1">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row>
    <row r="720" spans="2:59" ht="15.75" customHeight="1">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row>
    <row r="721" spans="2:59" ht="15.75" customHeight="1">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row>
    <row r="722" spans="2:59" ht="15.75" customHeight="1">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row>
    <row r="723" spans="2:59" ht="15.75" customHeight="1">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row>
    <row r="724" spans="2:59" ht="15.75" customHeight="1">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row>
    <row r="725" spans="2:59" ht="15.75" customHeight="1">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row>
    <row r="726" spans="2:59" ht="15.75" customHeight="1">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row>
    <row r="727" spans="2:59" ht="15.75" customHeight="1">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row>
    <row r="728" spans="2:59" ht="15.75" customHeight="1">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row>
    <row r="729" spans="2:59" ht="15.75" customHeight="1">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row>
    <row r="730" spans="2:59" ht="15.75" customHeight="1">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row>
    <row r="731" spans="2:59" ht="15.75" customHeight="1">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row>
    <row r="732" spans="2:59" ht="15.75" customHeight="1">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row>
    <row r="733" spans="2:59" ht="15.75" customHeight="1">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row>
    <row r="734" spans="2:59" ht="15.75" customHeight="1">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row>
    <row r="735" spans="2:59" ht="15.75" customHeight="1">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row>
    <row r="736" spans="2:59" ht="15.75" customHeight="1">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row>
    <row r="737" spans="2:59" ht="15.75" customHeight="1">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row>
    <row r="738" spans="2:59" ht="15.75" customHeight="1">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row>
    <row r="739" spans="2:59" ht="15.75" customHeight="1">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row>
    <row r="740" spans="2:59" ht="15.75" customHeight="1">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row>
    <row r="741" spans="2:59" ht="15.75" customHeight="1">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row>
    <row r="742" spans="2:59" ht="15.75" customHeight="1">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row>
    <row r="743" spans="2:59" ht="15.75" customHeight="1">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row>
    <row r="744" spans="2:59" ht="15.75" customHeight="1">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row>
    <row r="745" spans="2:59" ht="15.75" customHeight="1">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row>
    <row r="746" spans="2:59" ht="15.75" customHeight="1">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row>
    <row r="747" spans="2:59" ht="15.75" customHeight="1">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row>
    <row r="748" spans="2:59" ht="15.75" customHeight="1">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row>
    <row r="749" spans="2:59" ht="15.75" customHeight="1">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row>
    <row r="750" spans="2:59" ht="15.75" customHeight="1">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row>
    <row r="751" spans="2:59" ht="15.75" customHeight="1">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row>
    <row r="752" spans="2:59" ht="15.75" customHeight="1">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row>
    <row r="753" spans="2:59" ht="15.75" customHeight="1">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row>
    <row r="754" spans="2:59" ht="15.75" customHeight="1">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row>
    <row r="755" spans="2:59" ht="15.75" customHeight="1">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row>
    <row r="756" spans="2:59" ht="15.75" customHeight="1">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row>
    <row r="757" spans="2:59" ht="15.75" customHeight="1">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row>
    <row r="758" spans="2:59" ht="15.75" customHeight="1">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row>
    <row r="759" spans="2:59" ht="15.75" customHeight="1">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7"/>
      <c r="AY759" s="47"/>
      <c r="AZ759" s="47"/>
      <c r="BA759" s="47"/>
      <c r="BB759" s="47"/>
      <c r="BC759" s="47"/>
      <c r="BD759" s="47"/>
      <c r="BE759" s="47"/>
      <c r="BF759" s="47"/>
      <c r="BG759" s="47"/>
    </row>
    <row r="760" spans="2:59" ht="15.75" customHeight="1">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7"/>
      <c r="AY760" s="47"/>
      <c r="AZ760" s="47"/>
      <c r="BA760" s="47"/>
      <c r="BB760" s="47"/>
      <c r="BC760" s="47"/>
      <c r="BD760" s="47"/>
      <c r="BE760" s="47"/>
      <c r="BF760" s="47"/>
      <c r="BG760" s="47"/>
    </row>
    <row r="761" spans="2:59" ht="15.75" customHeight="1">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7"/>
      <c r="AY761" s="47"/>
      <c r="AZ761" s="47"/>
      <c r="BA761" s="47"/>
      <c r="BB761" s="47"/>
      <c r="BC761" s="47"/>
      <c r="BD761" s="47"/>
      <c r="BE761" s="47"/>
      <c r="BF761" s="47"/>
      <c r="BG761" s="47"/>
    </row>
    <row r="762" spans="2:59" ht="15.75" customHeight="1">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7"/>
      <c r="AY762" s="47"/>
      <c r="AZ762" s="47"/>
      <c r="BA762" s="47"/>
      <c r="BB762" s="47"/>
      <c r="BC762" s="47"/>
      <c r="BD762" s="47"/>
      <c r="BE762" s="47"/>
      <c r="BF762" s="47"/>
      <c r="BG762" s="47"/>
    </row>
    <row r="763" spans="2:59" ht="15.75" customHeight="1">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row>
    <row r="764" spans="2:59" ht="15.75" customHeight="1">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row>
    <row r="765" spans="2:59" ht="15.75" customHeight="1">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row>
    <row r="766" spans="2:59" ht="15.75" customHeight="1">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row>
    <row r="767" spans="2:59" ht="15.75" customHeight="1">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row>
    <row r="768" spans="2:59" ht="15.75" customHeight="1">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row>
    <row r="769" spans="2:59" ht="15.75" customHeight="1">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row>
    <row r="770" spans="2:59" ht="15.75" customHeight="1">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7"/>
      <c r="AY770" s="47"/>
      <c r="AZ770" s="47"/>
      <c r="BA770" s="47"/>
      <c r="BB770" s="47"/>
      <c r="BC770" s="47"/>
      <c r="BD770" s="47"/>
      <c r="BE770" s="47"/>
      <c r="BF770" s="47"/>
      <c r="BG770" s="47"/>
    </row>
    <row r="771" spans="2:59" ht="15.75" customHeight="1">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row>
    <row r="772" spans="2:59" ht="15.75" customHeight="1">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row>
    <row r="773" spans="2:59" ht="15.75" customHeight="1">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row>
    <row r="774" spans="2:59" ht="15.75" customHeight="1">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row>
    <row r="775" spans="2:59" ht="15.75" customHeight="1">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row>
    <row r="776" spans="2:59" ht="15.75" customHeight="1">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row>
    <row r="777" spans="2:59" ht="15.75" customHeight="1">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row>
    <row r="778" spans="2:59" ht="15.75" customHeight="1">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row>
    <row r="779" spans="2:59" ht="15.75" customHeight="1">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row>
    <row r="780" spans="2:59" ht="15.75" customHeight="1">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row>
    <row r="781" spans="2:59" ht="15.75" customHeight="1">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row>
    <row r="782" spans="2:59" ht="15.75" customHeight="1">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row>
    <row r="783" spans="2:59" ht="15.75" customHeight="1">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row>
    <row r="784" spans="2:59" ht="15.75" customHeight="1">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row>
    <row r="785" spans="2:59" ht="15.75" customHeight="1">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row>
    <row r="786" spans="2:59" ht="15.75" customHeight="1">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row>
    <row r="787" spans="2:59" ht="15.75" customHeight="1">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row>
    <row r="788" spans="2:59" ht="15.75" customHeight="1">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row>
    <row r="789" spans="2:59" ht="15.75" customHeight="1">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row>
    <row r="790" spans="2:59" ht="15.75" customHeight="1">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row>
    <row r="791" spans="2:59" ht="15.75" customHeight="1">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row>
    <row r="792" spans="2:59" ht="15.75" customHeight="1">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row>
    <row r="793" spans="2:59" ht="15.75" customHeight="1">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row>
    <row r="794" spans="2:59" ht="15.75" customHeight="1">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row>
    <row r="795" spans="2:59" ht="15.75" customHeight="1">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row>
    <row r="796" spans="2:59" ht="15.75" customHeight="1">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row>
    <row r="797" spans="2:59" ht="15.75" customHeight="1">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row>
    <row r="798" spans="2:59" ht="15.75" customHeight="1">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row>
    <row r="799" spans="2:59" ht="15.75" customHeight="1">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row>
    <row r="800" spans="2:59" ht="15.75" customHeight="1">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row>
    <row r="801" spans="2:59" ht="15.75" customHeight="1">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c r="BC801" s="47"/>
      <c r="BD801" s="47"/>
      <c r="BE801" s="47"/>
      <c r="BF801" s="47"/>
      <c r="BG801" s="47"/>
    </row>
    <row r="802" spans="2:59" ht="15.75" customHeight="1">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7"/>
      <c r="AY802" s="47"/>
      <c r="AZ802" s="47"/>
      <c r="BA802" s="47"/>
      <c r="BB802" s="47"/>
      <c r="BC802" s="47"/>
      <c r="BD802" s="47"/>
      <c r="BE802" s="47"/>
      <c r="BF802" s="47"/>
      <c r="BG802" s="47"/>
    </row>
    <row r="803" spans="2:59" ht="15.75" customHeight="1">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7"/>
      <c r="AY803" s="47"/>
      <c r="AZ803" s="47"/>
      <c r="BA803" s="47"/>
      <c r="BB803" s="47"/>
      <c r="BC803" s="47"/>
      <c r="BD803" s="47"/>
      <c r="BE803" s="47"/>
      <c r="BF803" s="47"/>
      <c r="BG803" s="47"/>
    </row>
    <row r="804" spans="2:59" ht="15.75" customHeight="1">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c r="BC804" s="47"/>
      <c r="BD804" s="47"/>
      <c r="BE804" s="47"/>
      <c r="BF804" s="47"/>
      <c r="BG804" s="47"/>
    </row>
    <row r="805" spans="2:59" ht="15.75" customHeight="1">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row>
    <row r="806" spans="2:59" ht="15.75" customHeight="1">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c r="BC806" s="47"/>
      <c r="BD806" s="47"/>
      <c r="BE806" s="47"/>
      <c r="BF806" s="47"/>
      <c r="BG806" s="47"/>
    </row>
    <row r="807" spans="2:59" ht="15.75" customHeight="1">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row>
    <row r="808" spans="2:59" ht="15.75" customHeight="1">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row>
    <row r="809" spans="2:59" ht="15.75" customHeight="1">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c r="BC809" s="47"/>
      <c r="BD809" s="47"/>
      <c r="BE809" s="47"/>
      <c r="BF809" s="47"/>
      <c r="BG809" s="47"/>
    </row>
    <row r="810" spans="2:59" ht="15.75" customHeight="1">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7"/>
      <c r="AY810" s="47"/>
      <c r="AZ810" s="47"/>
      <c r="BA810" s="47"/>
      <c r="BB810" s="47"/>
      <c r="BC810" s="47"/>
      <c r="BD810" s="47"/>
      <c r="BE810" s="47"/>
      <c r="BF810" s="47"/>
      <c r="BG810" s="47"/>
    </row>
    <row r="811" spans="2:59" ht="15.75" customHeight="1">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row>
    <row r="812" spans="2:59" ht="15.75" customHeight="1">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row>
    <row r="813" spans="2:59" ht="15.75" customHeight="1">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row>
    <row r="814" spans="2:59" ht="15.75" customHeight="1">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row>
    <row r="815" spans="2:59" ht="15.75" customHeight="1">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c r="BC815" s="47"/>
      <c r="BD815" s="47"/>
      <c r="BE815" s="47"/>
      <c r="BF815" s="47"/>
      <c r="BG815" s="47"/>
    </row>
    <row r="816" spans="2:59" ht="15.75" customHeight="1">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row>
    <row r="817" spans="2:59" ht="15.75" customHeight="1">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7"/>
      <c r="AC817" s="47"/>
      <c r="AD817" s="47"/>
      <c r="AE817" s="47"/>
      <c r="AF817" s="47"/>
      <c r="AG817" s="47"/>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row>
    <row r="818" spans="2:59" ht="15.75" customHeight="1">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row>
    <row r="819" spans="2:59" ht="15.75" customHeight="1">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row>
    <row r="820" spans="2:59" ht="15.75" customHeight="1">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row>
    <row r="821" spans="2:59" ht="15.75" customHeight="1">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row>
    <row r="822" spans="2:59" ht="15.75" customHeight="1">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row>
    <row r="823" spans="2:59" ht="15.75" customHeight="1">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row>
    <row r="824" spans="2:59" ht="15.75" customHeight="1">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row>
    <row r="825" spans="2:59" ht="15.75" customHeight="1">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row>
    <row r="826" spans="2:59" ht="15.75" customHeight="1">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row>
    <row r="827" spans="2:59" ht="15.75" customHeight="1">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row>
    <row r="828" spans="2:59" ht="15.75" customHeight="1">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row>
    <row r="829" spans="2:59" ht="15.75" customHeight="1">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row>
    <row r="830" spans="2:59" ht="15.75" customHeight="1">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7"/>
      <c r="AC830" s="47"/>
      <c r="AD830" s="47"/>
      <c r="AE830" s="47"/>
      <c r="AF830" s="47"/>
      <c r="AG830" s="47"/>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row>
    <row r="831" spans="2:59" ht="15.75" customHeight="1">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7"/>
      <c r="AC831" s="47"/>
      <c r="AD831" s="47"/>
      <c r="AE831" s="47"/>
      <c r="AF831" s="47"/>
      <c r="AG831" s="47"/>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row>
    <row r="832" spans="2:59" ht="15.75" customHeight="1">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row>
    <row r="833" spans="2:59" ht="15.75" customHeight="1">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7"/>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row>
    <row r="834" spans="2:59" ht="15.75" customHeight="1">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7"/>
      <c r="AC834" s="47"/>
      <c r="AD834" s="47"/>
      <c r="AE834" s="47"/>
      <c r="AF834" s="47"/>
      <c r="AG834" s="47"/>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row>
    <row r="835" spans="2:59" ht="15.75" customHeight="1">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7"/>
      <c r="AC835" s="47"/>
      <c r="AD835" s="47"/>
      <c r="AE835" s="47"/>
      <c r="AF835" s="47"/>
      <c r="AG835" s="47"/>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row>
    <row r="836" spans="2:59" ht="15.75" customHeight="1">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row>
    <row r="837" spans="2:59" ht="15.75" customHeight="1">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row>
    <row r="838" spans="2:59" ht="15.75" customHeight="1">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row>
    <row r="839" spans="2:59" ht="15.75" customHeight="1">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row>
    <row r="840" spans="2:59" ht="15.75" customHeight="1">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row>
    <row r="841" spans="2:59" ht="15.75" customHeight="1">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row>
    <row r="842" spans="2:59" ht="15.75" customHeight="1">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row>
    <row r="843" spans="2:59" ht="15.75" customHeight="1">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row>
    <row r="844" spans="2:59" ht="15.75" customHeight="1">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row>
    <row r="845" spans="2:59" ht="15.75" customHeight="1">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c r="BC845" s="47"/>
      <c r="BD845" s="47"/>
      <c r="BE845" s="47"/>
      <c r="BF845" s="47"/>
      <c r="BG845" s="47"/>
    </row>
    <row r="846" spans="2:59" ht="15.75" customHeight="1">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c r="BC846" s="47"/>
      <c r="BD846" s="47"/>
      <c r="BE846" s="47"/>
      <c r="BF846" s="47"/>
      <c r="BG846" s="47"/>
    </row>
    <row r="847" spans="2:59" ht="15.75" customHeight="1">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c r="BC847" s="47"/>
      <c r="BD847" s="47"/>
      <c r="BE847" s="47"/>
      <c r="BF847" s="47"/>
      <c r="BG847" s="47"/>
    </row>
    <row r="848" spans="2:59" ht="15.75" customHeight="1">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7"/>
      <c r="AC848" s="47"/>
      <c r="AD848" s="47"/>
      <c r="AE848" s="47"/>
      <c r="AF848" s="47"/>
      <c r="AG848" s="47"/>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row>
    <row r="849" spans="2:59" ht="15.75" customHeight="1">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row>
    <row r="850" spans="2:59" ht="15.75" customHeight="1">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row>
    <row r="851" spans="2:59" ht="15.75" customHeight="1">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row>
    <row r="852" spans="2:59" ht="15.75" customHeight="1">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row>
    <row r="853" spans="2:59" ht="15.75" customHeight="1">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row>
    <row r="854" spans="2:59" ht="15.75" customHeight="1">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7"/>
      <c r="AC854" s="47"/>
      <c r="AD854" s="47"/>
      <c r="AE854" s="47"/>
      <c r="AF854" s="47"/>
      <c r="AG854" s="47"/>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row>
    <row r="855" spans="2:59" ht="15.75" customHeight="1">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7"/>
      <c r="AC855" s="47"/>
      <c r="AD855" s="47"/>
      <c r="AE855" s="47"/>
      <c r="AF855" s="47"/>
      <c r="AG855" s="47"/>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row>
    <row r="856" spans="2:59" ht="15.75" customHeight="1">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row>
    <row r="857" spans="2:59" ht="15.75" customHeight="1">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7"/>
      <c r="AC857" s="47"/>
      <c r="AD857" s="47"/>
      <c r="AE857" s="47"/>
      <c r="AF857" s="47"/>
      <c r="AG857" s="47"/>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row>
    <row r="858" spans="2:59" ht="15.75" customHeight="1">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7"/>
      <c r="AC858" s="47"/>
      <c r="AD858" s="47"/>
      <c r="AE858" s="47"/>
      <c r="AF858" s="47"/>
      <c r="AG858" s="47"/>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row>
    <row r="859" spans="2:59" ht="15.75" customHeight="1">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7"/>
      <c r="AC859" s="47"/>
      <c r="AD859" s="47"/>
      <c r="AE859" s="47"/>
      <c r="AF859" s="47"/>
      <c r="AG859" s="47"/>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row>
    <row r="860" spans="2:59" ht="15.75" customHeight="1">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7"/>
      <c r="AC860" s="47"/>
      <c r="AD860" s="47"/>
      <c r="AE860" s="47"/>
      <c r="AF860" s="47"/>
      <c r="AG860" s="47"/>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row>
    <row r="861" spans="2:59" ht="15.75" customHeight="1">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7"/>
      <c r="AC861" s="47"/>
      <c r="AD861" s="47"/>
      <c r="AE861" s="47"/>
      <c r="AF861" s="47"/>
      <c r="AG861" s="47"/>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row>
    <row r="862" spans="2:59" ht="15.75" customHeight="1">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7"/>
      <c r="AC862" s="47"/>
      <c r="AD862" s="47"/>
      <c r="AE862" s="47"/>
      <c r="AF862" s="47"/>
      <c r="AG862" s="47"/>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row>
    <row r="863" spans="2:59" ht="15.75" customHeight="1">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7"/>
      <c r="AC863" s="47"/>
      <c r="AD863" s="47"/>
      <c r="AE863" s="47"/>
      <c r="AF863" s="47"/>
      <c r="AG863" s="47"/>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row>
    <row r="864" spans="2:59" ht="15.75" customHeight="1">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7"/>
      <c r="AC864" s="47"/>
      <c r="AD864" s="47"/>
      <c r="AE864" s="47"/>
      <c r="AF864" s="47"/>
      <c r="AG864" s="47"/>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row>
    <row r="865" spans="2:59" ht="15.75" customHeight="1">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7"/>
      <c r="AC865" s="47"/>
      <c r="AD865" s="47"/>
      <c r="AE865" s="47"/>
      <c r="AF865" s="47"/>
      <c r="AG865" s="47"/>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row>
    <row r="866" spans="2:59" ht="15.75" customHeight="1">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7"/>
      <c r="AC866" s="47"/>
      <c r="AD866" s="47"/>
      <c r="AE866" s="47"/>
      <c r="AF866" s="47"/>
      <c r="AG866" s="47"/>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row>
    <row r="867" spans="2:59" ht="15.75" customHeight="1">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7"/>
      <c r="AC867" s="47"/>
      <c r="AD867" s="47"/>
      <c r="AE867" s="47"/>
      <c r="AF867" s="47"/>
      <c r="AG867" s="47"/>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row>
    <row r="868" spans="2:59" ht="15.75" customHeight="1">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7"/>
      <c r="AC868" s="47"/>
      <c r="AD868" s="47"/>
      <c r="AE868" s="47"/>
      <c r="AF868" s="47"/>
      <c r="AG868" s="47"/>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row>
    <row r="869" spans="2:59" ht="15.75" customHeight="1">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7"/>
      <c r="AC869" s="47"/>
      <c r="AD869" s="47"/>
      <c r="AE869" s="47"/>
      <c r="AF869" s="47"/>
      <c r="AG869" s="47"/>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row>
    <row r="870" spans="2:59" ht="15.75" customHeight="1">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7"/>
      <c r="AC870" s="47"/>
      <c r="AD870" s="47"/>
      <c r="AE870" s="47"/>
      <c r="AF870" s="47"/>
      <c r="AG870" s="47"/>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row>
    <row r="871" spans="2:59" ht="15.75" customHeight="1">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row>
    <row r="872" spans="2:59" ht="15.75" customHeight="1">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7"/>
      <c r="AC872" s="47"/>
      <c r="AD872" s="47"/>
      <c r="AE872" s="47"/>
      <c r="AF872" s="47"/>
      <c r="AG872" s="47"/>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row>
    <row r="873" spans="2:59" ht="15.75" customHeight="1">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7"/>
      <c r="AC873" s="47"/>
      <c r="AD873" s="47"/>
      <c r="AE873" s="47"/>
      <c r="AF873" s="47"/>
      <c r="AG873" s="47"/>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row>
    <row r="874" spans="2:59" ht="15.75" customHeight="1">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7"/>
      <c r="AC874" s="47"/>
      <c r="AD874" s="47"/>
      <c r="AE874" s="47"/>
      <c r="AF874" s="47"/>
      <c r="AG874" s="47"/>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row>
    <row r="875" spans="2:59" ht="15.75" customHeight="1">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7"/>
      <c r="AC875" s="47"/>
      <c r="AD875" s="47"/>
      <c r="AE875" s="47"/>
      <c r="AF875" s="47"/>
      <c r="AG875" s="47"/>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row>
    <row r="876" spans="2:59" ht="15.75" customHeight="1">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7"/>
      <c r="AC876" s="47"/>
      <c r="AD876" s="47"/>
      <c r="AE876" s="47"/>
      <c r="AF876" s="47"/>
      <c r="AG876" s="47"/>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row>
    <row r="877" spans="2:59" ht="15.75" customHeight="1">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7"/>
      <c r="AC877" s="47"/>
      <c r="AD877" s="47"/>
      <c r="AE877" s="47"/>
      <c r="AF877" s="47"/>
      <c r="AG877" s="47"/>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row>
    <row r="878" spans="2:59" ht="15.75" customHeight="1">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7"/>
      <c r="AC878" s="47"/>
      <c r="AD878" s="47"/>
      <c r="AE878" s="47"/>
      <c r="AF878" s="47"/>
      <c r="AG878" s="47"/>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row>
    <row r="879" spans="2:59" ht="15.75" customHeight="1">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row>
    <row r="880" spans="2:59" ht="15.75" customHeight="1">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7"/>
      <c r="AC880" s="47"/>
      <c r="AD880" s="47"/>
      <c r="AE880" s="47"/>
      <c r="AF880" s="47"/>
      <c r="AG880" s="47"/>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row>
    <row r="881" spans="2:59" ht="15.75" customHeight="1">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7"/>
      <c r="AC881" s="47"/>
      <c r="AD881" s="47"/>
      <c r="AE881" s="47"/>
      <c r="AF881" s="47"/>
      <c r="AG881" s="47"/>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row>
    <row r="882" spans="2:59" ht="15.75" customHeight="1">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7"/>
      <c r="AC882" s="47"/>
      <c r="AD882" s="47"/>
      <c r="AE882" s="47"/>
      <c r="AF882" s="47"/>
      <c r="AG882" s="47"/>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row>
    <row r="883" spans="2:59" ht="15.75" customHeight="1">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7"/>
      <c r="AC883" s="47"/>
      <c r="AD883" s="47"/>
      <c r="AE883" s="47"/>
      <c r="AF883" s="47"/>
      <c r="AG883" s="47"/>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row>
    <row r="884" spans="2:59" ht="15.75" customHeight="1">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7"/>
      <c r="AC884" s="47"/>
      <c r="AD884" s="47"/>
      <c r="AE884" s="47"/>
      <c r="AF884" s="47"/>
      <c r="AG884" s="47"/>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row>
    <row r="885" spans="2:59" ht="15.75" customHeight="1">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7"/>
      <c r="AC885" s="47"/>
      <c r="AD885" s="47"/>
      <c r="AE885" s="47"/>
      <c r="AF885" s="47"/>
      <c r="AG885" s="47"/>
      <c r="AH885" s="47"/>
      <c r="AI885" s="47"/>
      <c r="AJ885" s="47"/>
      <c r="AK885" s="47"/>
      <c r="AL885" s="47"/>
      <c r="AM885" s="47"/>
      <c r="AN885" s="47"/>
      <c r="AO885" s="47"/>
      <c r="AP885" s="47"/>
      <c r="AQ885" s="47"/>
      <c r="AR885" s="47"/>
      <c r="AS885" s="47"/>
      <c r="AT885" s="47"/>
      <c r="AU885" s="47"/>
      <c r="AV885" s="47"/>
      <c r="AW885" s="47"/>
      <c r="AX885" s="47"/>
      <c r="AY885" s="47"/>
      <c r="AZ885" s="47"/>
      <c r="BA885" s="47"/>
      <c r="BB885" s="47"/>
      <c r="BC885" s="47"/>
      <c r="BD885" s="47"/>
      <c r="BE885" s="47"/>
      <c r="BF885" s="47"/>
      <c r="BG885" s="47"/>
    </row>
    <row r="886" spans="2:59" ht="15.75" customHeight="1">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7"/>
      <c r="AC886" s="47"/>
      <c r="AD886" s="47"/>
      <c r="AE886" s="47"/>
      <c r="AF886" s="47"/>
      <c r="AG886" s="47"/>
      <c r="AH886" s="47"/>
      <c r="AI886" s="47"/>
      <c r="AJ886" s="47"/>
      <c r="AK886" s="47"/>
      <c r="AL886" s="47"/>
      <c r="AM886" s="47"/>
      <c r="AN886" s="47"/>
      <c r="AO886" s="47"/>
      <c r="AP886" s="47"/>
      <c r="AQ886" s="47"/>
      <c r="AR886" s="47"/>
      <c r="AS886" s="47"/>
      <c r="AT886" s="47"/>
      <c r="AU886" s="47"/>
      <c r="AV886" s="47"/>
      <c r="AW886" s="47"/>
      <c r="AX886" s="47"/>
      <c r="AY886" s="47"/>
      <c r="AZ886" s="47"/>
      <c r="BA886" s="47"/>
      <c r="BB886" s="47"/>
      <c r="BC886" s="47"/>
      <c r="BD886" s="47"/>
      <c r="BE886" s="47"/>
      <c r="BF886" s="47"/>
      <c r="BG886" s="47"/>
    </row>
    <row r="887" spans="2:59" ht="15.75" customHeight="1">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row>
    <row r="888" spans="2:59" ht="15.75" customHeight="1">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7"/>
      <c r="AC888" s="47"/>
      <c r="AD888" s="47"/>
      <c r="AE888" s="47"/>
      <c r="AF888" s="47"/>
      <c r="AG888" s="47"/>
      <c r="AH888" s="47"/>
      <c r="AI888" s="47"/>
      <c r="AJ888" s="47"/>
      <c r="AK888" s="47"/>
      <c r="AL888" s="47"/>
      <c r="AM888" s="47"/>
      <c r="AN888" s="47"/>
      <c r="AO888" s="47"/>
      <c r="AP888" s="47"/>
      <c r="AQ888" s="47"/>
      <c r="AR888" s="47"/>
      <c r="AS888" s="47"/>
      <c r="AT888" s="47"/>
      <c r="AU888" s="47"/>
      <c r="AV888" s="47"/>
      <c r="AW888" s="47"/>
      <c r="AX888" s="47"/>
      <c r="AY888" s="47"/>
      <c r="AZ888" s="47"/>
      <c r="BA888" s="47"/>
      <c r="BB888" s="47"/>
      <c r="BC888" s="47"/>
      <c r="BD888" s="47"/>
      <c r="BE888" s="47"/>
      <c r="BF888" s="47"/>
      <c r="BG888" s="47"/>
    </row>
    <row r="889" spans="2:59" ht="15.75" customHeight="1">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7"/>
      <c r="AC889" s="47"/>
      <c r="AD889" s="47"/>
      <c r="AE889" s="47"/>
      <c r="AF889" s="47"/>
      <c r="AG889" s="47"/>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row>
    <row r="890" spans="2:59" ht="15.75" customHeight="1">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7"/>
      <c r="AC890" s="47"/>
      <c r="AD890" s="47"/>
      <c r="AE890" s="47"/>
      <c r="AF890" s="47"/>
      <c r="AG890" s="47"/>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row>
    <row r="891" spans="2:59" ht="15.75" customHeight="1">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row>
    <row r="892" spans="2:59" ht="15.75" customHeight="1">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7"/>
      <c r="AC892" s="47"/>
      <c r="AD892" s="47"/>
      <c r="AE892" s="47"/>
      <c r="AF892" s="47"/>
      <c r="AG892" s="47"/>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row>
    <row r="893" spans="2:59" ht="15.75" customHeight="1">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7"/>
      <c r="AC893" s="47"/>
      <c r="AD893" s="47"/>
      <c r="AE893" s="47"/>
      <c r="AF893" s="47"/>
      <c r="AG893" s="47"/>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row>
    <row r="894" spans="2:59" ht="15.75" customHeight="1">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7"/>
      <c r="AC894" s="47"/>
      <c r="AD894" s="47"/>
      <c r="AE894" s="47"/>
      <c r="AF894" s="47"/>
      <c r="AG894" s="47"/>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row>
    <row r="895" spans="2:59" ht="15.75" customHeight="1">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7"/>
      <c r="AC895" s="47"/>
      <c r="AD895" s="47"/>
      <c r="AE895" s="47"/>
      <c r="AF895" s="47"/>
      <c r="AG895" s="47"/>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row>
    <row r="896" spans="2:59" ht="15.75" customHeight="1">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7"/>
      <c r="AC896" s="47"/>
      <c r="AD896" s="47"/>
      <c r="AE896" s="47"/>
      <c r="AF896" s="47"/>
      <c r="AG896" s="47"/>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row>
    <row r="897" spans="2:59" ht="15.75" customHeight="1">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7"/>
      <c r="AC897" s="47"/>
      <c r="AD897" s="47"/>
      <c r="AE897" s="47"/>
      <c r="AF897" s="47"/>
      <c r="AG897" s="47"/>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row>
    <row r="898" spans="2:59" ht="15.75" customHeight="1">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7"/>
      <c r="AC898" s="47"/>
      <c r="AD898" s="47"/>
      <c r="AE898" s="47"/>
      <c r="AF898" s="47"/>
      <c r="AG898" s="47"/>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row>
    <row r="899" spans="2:59" ht="15.75" customHeight="1">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7"/>
      <c r="AC899" s="47"/>
      <c r="AD899" s="47"/>
      <c r="AE899" s="47"/>
      <c r="AF899" s="47"/>
      <c r="AG899" s="47"/>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row>
    <row r="900" spans="2:59" ht="15.75" customHeight="1">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7"/>
      <c r="AC900" s="47"/>
      <c r="AD900" s="47"/>
      <c r="AE900" s="47"/>
      <c r="AF900" s="47"/>
      <c r="AG900" s="47"/>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row>
    <row r="901" spans="2:59" ht="15.75" customHeight="1">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7"/>
      <c r="AC901" s="47"/>
      <c r="AD901" s="47"/>
      <c r="AE901" s="47"/>
      <c r="AF901" s="47"/>
      <c r="AG901" s="47"/>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row>
    <row r="902" spans="2:59" ht="15.75" customHeight="1">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7"/>
      <c r="AC902" s="47"/>
      <c r="AD902" s="47"/>
      <c r="AE902" s="47"/>
      <c r="AF902" s="47"/>
      <c r="AG902" s="47"/>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row>
    <row r="903" spans="2:59" ht="15.75" customHeight="1">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7"/>
      <c r="AC903" s="47"/>
      <c r="AD903" s="47"/>
      <c r="AE903" s="47"/>
      <c r="AF903" s="47"/>
      <c r="AG903" s="47"/>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row>
    <row r="904" spans="2:59" ht="15.75" customHeight="1">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7"/>
      <c r="AC904" s="47"/>
      <c r="AD904" s="47"/>
      <c r="AE904" s="47"/>
      <c r="AF904" s="47"/>
      <c r="AG904" s="47"/>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row>
    <row r="905" spans="2:59" ht="15.75" customHeight="1">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7"/>
      <c r="AC905" s="47"/>
      <c r="AD905" s="47"/>
      <c r="AE905" s="47"/>
      <c r="AF905" s="47"/>
      <c r="AG905" s="47"/>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row>
    <row r="906" spans="2:59" ht="15.75" customHeight="1">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7"/>
      <c r="AC906" s="47"/>
      <c r="AD906" s="47"/>
      <c r="AE906" s="47"/>
      <c r="AF906" s="47"/>
      <c r="AG906" s="47"/>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row>
    <row r="907" spans="2:59" ht="15.75" customHeight="1">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7"/>
      <c r="AC907" s="47"/>
      <c r="AD907" s="47"/>
      <c r="AE907" s="47"/>
      <c r="AF907" s="47"/>
      <c r="AG907" s="47"/>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row>
    <row r="908" spans="2:59" ht="15.75" customHeight="1">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7"/>
      <c r="AC908" s="47"/>
      <c r="AD908" s="47"/>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row>
    <row r="909" spans="2:59" ht="15.75" customHeight="1">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7"/>
      <c r="AC909" s="47"/>
      <c r="AD909" s="47"/>
      <c r="AE909" s="47"/>
      <c r="AF909" s="47"/>
      <c r="AG909" s="47"/>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row>
    <row r="910" spans="2:59" ht="15.75" customHeight="1">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7"/>
      <c r="AC910" s="47"/>
      <c r="AD910" s="47"/>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row>
    <row r="911" spans="2:59" ht="15.75" customHeight="1">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7"/>
      <c r="AC911" s="47"/>
      <c r="AD911" s="47"/>
      <c r="AE911" s="47"/>
      <c r="AF911" s="47"/>
      <c r="AG911" s="47"/>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row>
    <row r="912" spans="2:59" ht="15.75" customHeight="1">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7"/>
      <c r="AC912" s="47"/>
      <c r="AD912" s="47"/>
      <c r="AE912" s="47"/>
      <c r="AF912" s="47"/>
      <c r="AG912" s="47"/>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row>
    <row r="913" spans="2:59" ht="15.75" customHeight="1">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7"/>
      <c r="AC913" s="47"/>
      <c r="AD913" s="47"/>
      <c r="AE913" s="47"/>
      <c r="AF913" s="47"/>
      <c r="AG913" s="47"/>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row>
    <row r="914" spans="2:59" ht="15.75" customHeight="1">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7"/>
      <c r="AC914" s="47"/>
      <c r="AD914" s="47"/>
      <c r="AE914" s="47"/>
      <c r="AF914" s="47"/>
      <c r="AG914" s="47"/>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row>
    <row r="915" spans="2:59" ht="15.75" customHeight="1">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7"/>
      <c r="AC915" s="47"/>
      <c r="AD915" s="47"/>
      <c r="AE915" s="47"/>
      <c r="AF915" s="47"/>
      <c r="AG915" s="47"/>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row>
    <row r="916" spans="2:59" ht="15.75" customHeight="1">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7"/>
      <c r="AC916" s="47"/>
      <c r="AD916" s="47"/>
      <c r="AE916" s="47"/>
      <c r="AF916" s="47"/>
      <c r="AG916" s="47"/>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row>
    <row r="917" spans="2:59" ht="15.75" customHeight="1">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7"/>
      <c r="AC917" s="47"/>
      <c r="AD917" s="47"/>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row>
    <row r="918" spans="2:59" ht="15.75" customHeight="1">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7"/>
      <c r="AC918" s="47"/>
      <c r="AD918" s="47"/>
      <c r="AE918" s="47"/>
      <c r="AF918" s="47"/>
      <c r="AG918" s="47"/>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row>
    <row r="919" spans="2:59" ht="15.75" customHeight="1">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7"/>
      <c r="AC919" s="47"/>
      <c r="AD919" s="47"/>
      <c r="AE919" s="47"/>
      <c r="AF919" s="47"/>
      <c r="AG919" s="47"/>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row>
    <row r="920" spans="2:59" ht="15.75" customHeight="1">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7"/>
      <c r="AC920" s="47"/>
      <c r="AD920" s="47"/>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row>
    <row r="921" spans="2:59" ht="15.75" customHeight="1">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7"/>
      <c r="AC921" s="47"/>
      <c r="AD921" s="47"/>
      <c r="AE921" s="47"/>
      <c r="AF921" s="47"/>
      <c r="AG921" s="47"/>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row>
    <row r="922" spans="2:59" ht="15.75" customHeight="1">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7"/>
      <c r="AC922" s="47"/>
      <c r="AD922" s="47"/>
      <c r="AE922" s="47"/>
      <c r="AF922" s="47"/>
      <c r="AG922" s="47"/>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row>
    <row r="923" spans="2:59" ht="15.75" customHeight="1">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7"/>
      <c r="AC923" s="47"/>
      <c r="AD923" s="47"/>
      <c r="AE923" s="47"/>
      <c r="AF923" s="47"/>
      <c r="AG923" s="47"/>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row>
    <row r="924" spans="2:59" ht="15.75" customHeight="1">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7"/>
      <c r="AC924" s="47"/>
      <c r="AD924" s="47"/>
      <c r="AE924" s="47"/>
      <c r="AF924" s="47"/>
      <c r="AG924" s="47"/>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row>
    <row r="925" spans="2:59" ht="15.75" customHeight="1">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7"/>
      <c r="AC925" s="47"/>
      <c r="AD925" s="47"/>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row>
    <row r="926" spans="2:59" ht="15.75" customHeight="1">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7"/>
      <c r="AC926" s="47"/>
      <c r="AD926" s="47"/>
      <c r="AE926" s="47"/>
      <c r="AF926" s="47"/>
      <c r="AG926" s="47"/>
      <c r="AH926" s="47"/>
      <c r="AI926" s="47"/>
      <c r="AJ926" s="47"/>
      <c r="AK926" s="47"/>
      <c r="AL926" s="47"/>
      <c r="AM926" s="47"/>
      <c r="AN926" s="47"/>
      <c r="AO926" s="47"/>
      <c r="AP926" s="47"/>
      <c r="AQ926" s="47"/>
      <c r="AR926" s="47"/>
      <c r="AS926" s="47"/>
      <c r="AT926" s="47"/>
      <c r="AU926" s="47"/>
      <c r="AV926" s="47"/>
      <c r="AW926" s="47"/>
      <c r="AX926" s="47"/>
      <c r="AY926" s="47"/>
      <c r="AZ926" s="47"/>
      <c r="BA926" s="47"/>
      <c r="BB926" s="47"/>
      <c r="BC926" s="47"/>
      <c r="BD926" s="47"/>
      <c r="BE926" s="47"/>
      <c r="BF926" s="47"/>
      <c r="BG926" s="47"/>
    </row>
    <row r="927" spans="2:59" ht="15.75" customHeight="1">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7"/>
      <c r="AC927" s="47"/>
      <c r="AD927" s="47"/>
      <c r="AE927" s="47"/>
      <c r="AF927" s="47"/>
      <c r="AG927" s="47"/>
      <c r="AH927" s="47"/>
      <c r="AI927" s="47"/>
      <c r="AJ927" s="47"/>
      <c r="AK927" s="47"/>
      <c r="AL927" s="47"/>
      <c r="AM927" s="47"/>
      <c r="AN927" s="47"/>
      <c r="AO927" s="47"/>
      <c r="AP927" s="47"/>
      <c r="AQ927" s="47"/>
      <c r="AR927" s="47"/>
      <c r="AS927" s="47"/>
      <c r="AT927" s="47"/>
      <c r="AU927" s="47"/>
      <c r="AV927" s="47"/>
      <c r="AW927" s="47"/>
      <c r="AX927" s="47"/>
      <c r="AY927" s="47"/>
      <c r="AZ927" s="47"/>
      <c r="BA927" s="47"/>
      <c r="BB927" s="47"/>
      <c r="BC927" s="47"/>
      <c r="BD927" s="47"/>
      <c r="BE927" s="47"/>
      <c r="BF927" s="47"/>
      <c r="BG927" s="47"/>
    </row>
    <row r="928" spans="2:59" ht="15.75" customHeight="1">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7"/>
      <c r="AC928" s="47"/>
      <c r="AD928" s="47"/>
      <c r="AE928" s="47"/>
      <c r="AF928" s="47"/>
      <c r="AG928" s="47"/>
      <c r="AH928" s="47"/>
      <c r="AI928" s="47"/>
      <c r="AJ928" s="47"/>
      <c r="AK928" s="47"/>
      <c r="AL928" s="47"/>
      <c r="AM928" s="47"/>
      <c r="AN928" s="47"/>
      <c r="AO928" s="47"/>
      <c r="AP928" s="47"/>
      <c r="AQ928" s="47"/>
      <c r="AR928" s="47"/>
      <c r="AS928" s="47"/>
      <c r="AT928" s="47"/>
      <c r="AU928" s="47"/>
      <c r="AV928" s="47"/>
      <c r="AW928" s="47"/>
      <c r="AX928" s="47"/>
      <c r="AY928" s="47"/>
      <c r="AZ928" s="47"/>
      <c r="BA928" s="47"/>
      <c r="BB928" s="47"/>
      <c r="BC928" s="47"/>
      <c r="BD928" s="47"/>
      <c r="BE928" s="47"/>
      <c r="BF928" s="47"/>
      <c r="BG928" s="47"/>
    </row>
    <row r="929" spans="2:59" ht="15.75" customHeight="1">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7"/>
      <c r="AC929" s="47"/>
      <c r="AD929" s="47"/>
      <c r="AE929" s="47"/>
      <c r="AF929" s="47"/>
      <c r="AG929" s="47"/>
      <c r="AH929" s="47"/>
      <c r="AI929" s="47"/>
      <c r="AJ929" s="47"/>
      <c r="AK929" s="47"/>
      <c r="AL929" s="47"/>
      <c r="AM929" s="47"/>
      <c r="AN929" s="47"/>
      <c r="AO929" s="47"/>
      <c r="AP929" s="47"/>
      <c r="AQ929" s="47"/>
      <c r="AR929" s="47"/>
      <c r="AS929" s="47"/>
      <c r="AT929" s="47"/>
      <c r="AU929" s="47"/>
      <c r="AV929" s="47"/>
      <c r="AW929" s="47"/>
      <c r="AX929" s="47"/>
      <c r="AY929" s="47"/>
      <c r="AZ929" s="47"/>
      <c r="BA929" s="47"/>
      <c r="BB929" s="47"/>
      <c r="BC929" s="47"/>
      <c r="BD929" s="47"/>
      <c r="BE929" s="47"/>
      <c r="BF929" s="47"/>
      <c r="BG929" s="47"/>
    </row>
    <row r="930" spans="2:59" ht="15.75" customHeight="1">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row>
    <row r="931" spans="2:59" ht="15.75" customHeight="1">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7"/>
      <c r="AC931" s="47"/>
      <c r="AD931" s="47"/>
      <c r="AE931" s="47"/>
      <c r="AF931" s="47"/>
      <c r="AG931" s="47"/>
      <c r="AH931" s="47"/>
      <c r="AI931" s="47"/>
      <c r="AJ931" s="47"/>
      <c r="AK931" s="47"/>
      <c r="AL931" s="47"/>
      <c r="AM931" s="47"/>
      <c r="AN931" s="47"/>
      <c r="AO931" s="47"/>
      <c r="AP931" s="47"/>
      <c r="AQ931" s="47"/>
      <c r="AR931" s="47"/>
      <c r="AS931" s="47"/>
      <c r="AT931" s="47"/>
      <c r="AU931" s="47"/>
      <c r="AV931" s="47"/>
      <c r="AW931" s="47"/>
      <c r="AX931" s="47"/>
      <c r="AY931" s="47"/>
      <c r="AZ931" s="47"/>
      <c r="BA931" s="47"/>
      <c r="BB931" s="47"/>
      <c r="BC931" s="47"/>
      <c r="BD931" s="47"/>
      <c r="BE931" s="47"/>
      <c r="BF931" s="47"/>
      <c r="BG931" s="47"/>
    </row>
    <row r="932" spans="2:59" ht="15.75" customHeight="1">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7"/>
      <c r="AC932" s="47"/>
      <c r="AD932" s="47"/>
      <c r="AE932" s="47"/>
      <c r="AF932" s="47"/>
      <c r="AG932" s="47"/>
      <c r="AH932" s="47"/>
      <c r="AI932" s="47"/>
      <c r="AJ932" s="47"/>
      <c r="AK932" s="47"/>
      <c r="AL932" s="47"/>
      <c r="AM932" s="47"/>
      <c r="AN932" s="47"/>
      <c r="AO932" s="47"/>
      <c r="AP932" s="47"/>
      <c r="AQ932" s="47"/>
      <c r="AR932" s="47"/>
      <c r="AS932" s="47"/>
      <c r="AT932" s="47"/>
      <c r="AU932" s="47"/>
      <c r="AV932" s="47"/>
      <c r="AW932" s="47"/>
      <c r="AX932" s="47"/>
      <c r="AY932" s="47"/>
      <c r="AZ932" s="47"/>
      <c r="BA932" s="47"/>
      <c r="BB932" s="47"/>
      <c r="BC932" s="47"/>
      <c r="BD932" s="47"/>
      <c r="BE932" s="47"/>
      <c r="BF932" s="47"/>
      <c r="BG932" s="47"/>
    </row>
    <row r="933" spans="2:59" ht="15.75" customHeight="1">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7"/>
      <c r="AC933" s="47"/>
      <c r="AD933" s="47"/>
      <c r="AE933" s="47"/>
      <c r="AF933" s="47"/>
      <c r="AG933" s="47"/>
      <c r="AH933" s="47"/>
      <c r="AI933" s="47"/>
      <c r="AJ933" s="47"/>
      <c r="AK933" s="47"/>
      <c r="AL933" s="47"/>
      <c r="AM933" s="47"/>
      <c r="AN933" s="47"/>
      <c r="AO933" s="47"/>
      <c r="AP933" s="47"/>
      <c r="AQ933" s="47"/>
      <c r="AR933" s="47"/>
      <c r="AS933" s="47"/>
      <c r="AT933" s="47"/>
      <c r="AU933" s="47"/>
      <c r="AV933" s="47"/>
      <c r="AW933" s="47"/>
      <c r="AX933" s="47"/>
      <c r="AY933" s="47"/>
      <c r="AZ933" s="47"/>
      <c r="BA933" s="47"/>
      <c r="BB933" s="47"/>
      <c r="BC933" s="47"/>
      <c r="BD933" s="47"/>
      <c r="BE933" s="47"/>
      <c r="BF933" s="47"/>
      <c r="BG933" s="47"/>
    </row>
    <row r="934" spans="2:59" ht="15.75" customHeight="1">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7"/>
      <c r="AC934" s="47"/>
      <c r="AD934" s="47"/>
      <c r="AE934" s="47"/>
      <c r="AF934" s="47"/>
      <c r="AG934" s="47"/>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row>
    <row r="935" spans="2:59" ht="15.75" customHeight="1">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7"/>
      <c r="AC935" s="47"/>
      <c r="AD935" s="47"/>
      <c r="AE935" s="47"/>
      <c r="AF935" s="47"/>
      <c r="AG935" s="47"/>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row>
    <row r="936" spans="2:59" ht="15.75" customHeight="1">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7"/>
      <c r="AC936" s="47"/>
      <c r="AD936" s="47"/>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c r="BG936" s="47"/>
    </row>
    <row r="937" spans="2:59" ht="15.75" customHeight="1">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7"/>
      <c r="AC937" s="47"/>
      <c r="AD937" s="47"/>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row>
    <row r="938" spans="2:59" ht="15.75" customHeight="1">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7"/>
      <c r="AC938" s="47"/>
      <c r="AD938" s="47"/>
      <c r="AE938" s="47"/>
      <c r="AF938" s="47"/>
      <c r="AG938" s="47"/>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row>
    <row r="939" spans="2:59" ht="15.75" customHeight="1">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7"/>
      <c r="AC939" s="47"/>
      <c r="AD939" s="47"/>
      <c r="AE939" s="47"/>
      <c r="AF939" s="47"/>
      <c r="AG939" s="47"/>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row>
    <row r="940" spans="2:59" ht="15.75" customHeight="1">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7"/>
      <c r="AC940" s="47"/>
      <c r="AD940" s="47"/>
      <c r="AE940" s="47"/>
      <c r="AF940" s="47"/>
      <c r="AG940" s="47"/>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row>
    <row r="941" spans="2:59" ht="15.75" customHeight="1">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7"/>
      <c r="AC941" s="47"/>
      <c r="AD941" s="47"/>
      <c r="AE941" s="47"/>
      <c r="AF941" s="47"/>
      <c r="AG941" s="47"/>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row>
    <row r="942" spans="2:59" ht="15.75" customHeight="1">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7"/>
      <c r="AC942" s="47"/>
      <c r="AD942" s="47"/>
      <c r="AE942" s="47"/>
      <c r="AF942" s="47"/>
      <c r="AG942" s="47"/>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row>
    <row r="943" spans="2:59" ht="15.75" customHeight="1">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7"/>
      <c r="AC943" s="47"/>
      <c r="AD943" s="47"/>
      <c r="AE943" s="47"/>
      <c r="AF943" s="47"/>
      <c r="AG943" s="47"/>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row>
    <row r="944" spans="2:59" ht="15.75" customHeight="1">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7"/>
      <c r="AC944" s="47"/>
      <c r="AD944" s="47"/>
      <c r="AE944" s="47"/>
      <c r="AF944" s="47"/>
      <c r="AG944" s="47"/>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row>
    <row r="945" spans="2:59" ht="15.75" customHeight="1">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7"/>
      <c r="AC945" s="47"/>
      <c r="AD945" s="47"/>
      <c r="AE945" s="47"/>
      <c r="AF945" s="47"/>
      <c r="AG945" s="47"/>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row>
    <row r="946" spans="2:59" ht="15.75" customHeight="1">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7"/>
      <c r="AC946" s="47"/>
      <c r="AD946" s="47"/>
      <c r="AE946" s="47"/>
      <c r="AF946" s="47"/>
      <c r="AG946" s="47"/>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row>
    <row r="947" spans="2:59" ht="15.75" customHeight="1">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7"/>
      <c r="AC947" s="47"/>
      <c r="AD947" s="47"/>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row>
    <row r="948" spans="2:59" ht="15.75" customHeight="1">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7"/>
      <c r="AC948" s="47"/>
      <c r="AD948" s="47"/>
      <c r="AE948" s="47"/>
      <c r="AF948" s="47"/>
      <c r="AG948" s="47"/>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row>
    <row r="949" spans="2:59" ht="15.75" customHeight="1">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7"/>
      <c r="AC949" s="47"/>
      <c r="AD949" s="47"/>
      <c r="AE949" s="47"/>
      <c r="AF949" s="47"/>
      <c r="AG949" s="47"/>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row>
    <row r="950" spans="2:59" ht="15.75" customHeight="1">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7"/>
      <c r="AC950" s="47"/>
      <c r="AD950" s="47"/>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c r="BG950" s="47"/>
    </row>
    <row r="951" spans="2:59" ht="15.75" customHeight="1">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7"/>
      <c r="AC951" s="47"/>
      <c r="AD951" s="47"/>
      <c r="AE951" s="47"/>
      <c r="AF951" s="47"/>
      <c r="AG951" s="47"/>
      <c r="AH951" s="47"/>
      <c r="AI951" s="47"/>
      <c r="AJ951" s="47"/>
      <c r="AK951" s="47"/>
      <c r="AL951" s="47"/>
      <c r="AM951" s="47"/>
      <c r="AN951" s="47"/>
      <c r="AO951" s="47"/>
      <c r="AP951" s="47"/>
      <c r="AQ951" s="47"/>
      <c r="AR951" s="47"/>
      <c r="AS951" s="47"/>
      <c r="AT951" s="47"/>
      <c r="AU951" s="47"/>
      <c r="AV951" s="47"/>
      <c r="AW951" s="47"/>
      <c r="AX951" s="47"/>
      <c r="AY951" s="47"/>
      <c r="AZ951" s="47"/>
      <c r="BA951" s="47"/>
      <c r="BB951" s="47"/>
      <c r="BC951" s="47"/>
      <c r="BD951" s="47"/>
      <c r="BE951" s="47"/>
      <c r="BF951" s="47"/>
      <c r="BG951" s="47"/>
    </row>
    <row r="952" spans="2:59" ht="15.75" customHeight="1">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7"/>
      <c r="AC952" s="47"/>
      <c r="AD952" s="47"/>
      <c r="AE952" s="47"/>
      <c r="AF952" s="47"/>
      <c r="AG952" s="47"/>
      <c r="AH952" s="47"/>
      <c r="AI952" s="47"/>
      <c r="AJ952" s="47"/>
      <c r="AK952" s="47"/>
      <c r="AL952" s="47"/>
      <c r="AM952" s="47"/>
      <c r="AN952" s="47"/>
      <c r="AO952" s="47"/>
      <c r="AP952" s="47"/>
      <c r="AQ952" s="47"/>
      <c r="AR952" s="47"/>
      <c r="AS952" s="47"/>
      <c r="AT952" s="47"/>
      <c r="AU952" s="47"/>
      <c r="AV952" s="47"/>
      <c r="AW952" s="47"/>
      <c r="AX952" s="47"/>
      <c r="AY952" s="47"/>
      <c r="AZ952" s="47"/>
      <c r="BA952" s="47"/>
      <c r="BB952" s="47"/>
      <c r="BC952" s="47"/>
      <c r="BD952" s="47"/>
      <c r="BE952" s="47"/>
      <c r="BF952" s="47"/>
      <c r="BG952" s="47"/>
    </row>
    <row r="953" spans="2:59" ht="15.75" customHeight="1">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7"/>
      <c r="AC953" s="47"/>
      <c r="AD953" s="47"/>
      <c r="AE953" s="47"/>
      <c r="AF953" s="47"/>
      <c r="AG953" s="47"/>
      <c r="AH953" s="47"/>
      <c r="AI953" s="47"/>
      <c r="AJ953" s="47"/>
      <c r="AK953" s="47"/>
      <c r="AL953" s="47"/>
      <c r="AM953" s="47"/>
      <c r="AN953" s="47"/>
      <c r="AO953" s="47"/>
      <c r="AP953" s="47"/>
      <c r="AQ953" s="47"/>
      <c r="AR953" s="47"/>
      <c r="AS953" s="47"/>
      <c r="AT953" s="47"/>
      <c r="AU953" s="47"/>
      <c r="AV953" s="47"/>
      <c r="AW953" s="47"/>
      <c r="AX953" s="47"/>
      <c r="AY953" s="47"/>
      <c r="AZ953" s="47"/>
      <c r="BA953" s="47"/>
      <c r="BB953" s="47"/>
      <c r="BC953" s="47"/>
      <c r="BD953" s="47"/>
      <c r="BE953" s="47"/>
      <c r="BF953" s="47"/>
      <c r="BG953" s="47"/>
    </row>
    <row r="954" spans="2:59" ht="15.75" customHeight="1">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7"/>
      <c r="AC954" s="47"/>
      <c r="AD954" s="47"/>
      <c r="AE954" s="47"/>
      <c r="AF954" s="47"/>
      <c r="AG954" s="47"/>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row>
    <row r="955" spans="2:59" ht="15.75" customHeight="1">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7"/>
      <c r="AC955" s="47"/>
      <c r="AD955" s="47"/>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row>
    <row r="956" spans="2:59" ht="15.75" customHeight="1">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7"/>
      <c r="AC956" s="47"/>
      <c r="AD956" s="47"/>
      <c r="AE956" s="47"/>
      <c r="AF956" s="47"/>
      <c r="AG956" s="47"/>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row>
    <row r="957" spans="2:59" ht="15.75" customHeight="1">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7"/>
      <c r="AC957" s="47"/>
      <c r="AD957" s="47"/>
      <c r="AE957" s="47"/>
      <c r="AF957" s="47"/>
      <c r="AG957" s="47"/>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row>
    <row r="958" spans="2:59" ht="15.75" customHeight="1">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7"/>
      <c r="AC958" s="47"/>
      <c r="AD958" s="47"/>
      <c r="AE958" s="47"/>
      <c r="AF958" s="47"/>
      <c r="AG958" s="47"/>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row>
    <row r="959" spans="2:59" ht="15.75" customHeight="1">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7"/>
      <c r="AC959" s="47"/>
      <c r="AD959" s="47"/>
      <c r="AE959" s="47"/>
      <c r="AF959" s="47"/>
      <c r="AG959" s="47"/>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row>
    <row r="960" spans="2:59" ht="15.75" customHeight="1">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7"/>
      <c r="AC960" s="47"/>
      <c r="AD960" s="47"/>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row>
    <row r="961" spans="2:59" ht="15.75" customHeight="1">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7"/>
      <c r="AC961" s="47"/>
      <c r="AD961" s="47"/>
      <c r="AE961" s="47"/>
      <c r="AF961" s="47"/>
      <c r="AG961" s="47"/>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row>
    <row r="962" spans="2:59" ht="15.75" customHeight="1">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7"/>
      <c r="AC962" s="47"/>
      <c r="AD962" s="47"/>
      <c r="AE962" s="47"/>
      <c r="AF962" s="47"/>
      <c r="AG962" s="47"/>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row>
    <row r="963" spans="2:59" ht="15.75" customHeight="1">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7"/>
      <c r="AC963" s="47"/>
      <c r="AD963" s="47"/>
      <c r="AE963" s="47"/>
      <c r="AF963" s="47"/>
      <c r="AG963" s="47"/>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row>
    <row r="964" spans="2:59" ht="15.75" customHeight="1">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7"/>
      <c r="AC964" s="47"/>
      <c r="AD964" s="47"/>
      <c r="AE964" s="47"/>
      <c r="AF964" s="47"/>
      <c r="AG964" s="47"/>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row>
    <row r="965" spans="2:59" ht="15.75" customHeight="1">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7"/>
      <c r="AC965" s="47"/>
      <c r="AD965" s="47"/>
      <c r="AE965" s="47"/>
      <c r="AF965" s="47"/>
      <c r="AG965" s="47"/>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row>
    <row r="966" spans="2:59" ht="15.75" customHeight="1">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7"/>
      <c r="AC966" s="47"/>
      <c r="AD966" s="47"/>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row>
    <row r="967" spans="2:59" ht="15.75" customHeight="1">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7"/>
      <c r="AC967" s="47"/>
      <c r="AD967" s="47"/>
      <c r="AE967" s="47"/>
      <c r="AF967" s="47"/>
      <c r="AG967" s="47"/>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row>
    <row r="968" spans="2:59" ht="15.75" customHeight="1">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row>
    <row r="969" spans="2:59" ht="15.75" customHeight="1">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7"/>
      <c r="AC969" s="47"/>
      <c r="AD969" s="47"/>
      <c r="AE969" s="47"/>
      <c r="AF969" s="47"/>
      <c r="AG969" s="47"/>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row>
    <row r="970" spans="2:59" ht="15.75" customHeight="1">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7"/>
      <c r="AC970" s="47"/>
      <c r="AD970" s="47"/>
      <c r="AE970" s="47"/>
      <c r="AF970" s="47"/>
      <c r="AG970" s="47"/>
      <c r="AH970" s="47"/>
      <c r="AI970" s="47"/>
      <c r="AJ970" s="47"/>
      <c r="AK970" s="47"/>
      <c r="AL970" s="47"/>
      <c r="AM970" s="47"/>
      <c r="AN970" s="47"/>
      <c r="AO970" s="47"/>
      <c r="AP970" s="47"/>
      <c r="AQ970" s="47"/>
      <c r="AR970" s="47"/>
      <c r="AS970" s="47"/>
      <c r="AT970" s="47"/>
      <c r="AU970" s="47"/>
      <c r="AV970" s="47"/>
      <c r="AW970" s="47"/>
      <c r="AX970" s="47"/>
      <c r="AY970" s="47"/>
      <c r="AZ970" s="47"/>
      <c r="BA970" s="47"/>
      <c r="BB970" s="47"/>
      <c r="BC970" s="47"/>
      <c r="BD970" s="47"/>
      <c r="BE970" s="47"/>
      <c r="BF970" s="47"/>
      <c r="BG970" s="47"/>
    </row>
    <row r="971" spans="2:59" ht="15.75" customHeight="1">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7"/>
      <c r="AC971" s="47"/>
      <c r="AD971" s="47"/>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c r="BG971" s="47"/>
    </row>
    <row r="972" spans="2:59" ht="15.75" customHeight="1">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7"/>
      <c r="AC972" s="47"/>
      <c r="AD972" s="47"/>
      <c r="AE972" s="47"/>
      <c r="AF972" s="47"/>
      <c r="AG972" s="47"/>
      <c r="AH972" s="47"/>
      <c r="AI972" s="47"/>
      <c r="AJ972" s="47"/>
      <c r="AK972" s="47"/>
      <c r="AL972" s="47"/>
      <c r="AM972" s="47"/>
      <c r="AN972" s="47"/>
      <c r="AO972" s="47"/>
      <c r="AP972" s="47"/>
      <c r="AQ972" s="47"/>
      <c r="AR972" s="47"/>
      <c r="AS972" s="47"/>
      <c r="AT972" s="47"/>
      <c r="AU972" s="47"/>
      <c r="AV972" s="47"/>
      <c r="AW972" s="47"/>
      <c r="AX972" s="47"/>
      <c r="AY972" s="47"/>
      <c r="AZ972" s="47"/>
      <c r="BA972" s="47"/>
      <c r="BB972" s="47"/>
      <c r="BC972" s="47"/>
      <c r="BD972" s="47"/>
      <c r="BE972" s="47"/>
      <c r="BF972" s="47"/>
      <c r="BG972" s="47"/>
    </row>
    <row r="973" spans="2:59" ht="15.75" customHeight="1">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7"/>
      <c r="AC973" s="47"/>
      <c r="AD973" s="47"/>
      <c r="AE973" s="47"/>
      <c r="AF973" s="47"/>
      <c r="AG973" s="47"/>
      <c r="AH973" s="47"/>
      <c r="AI973" s="47"/>
      <c r="AJ973" s="47"/>
      <c r="AK973" s="47"/>
      <c r="AL973" s="47"/>
      <c r="AM973" s="47"/>
      <c r="AN973" s="47"/>
      <c r="AO973" s="47"/>
      <c r="AP973" s="47"/>
      <c r="AQ973" s="47"/>
      <c r="AR973" s="47"/>
      <c r="AS973" s="47"/>
      <c r="AT973" s="47"/>
      <c r="AU973" s="47"/>
      <c r="AV973" s="47"/>
      <c r="AW973" s="47"/>
      <c r="AX973" s="47"/>
      <c r="AY973" s="47"/>
      <c r="AZ973" s="47"/>
      <c r="BA973" s="47"/>
      <c r="BB973" s="47"/>
      <c r="BC973" s="47"/>
      <c r="BD973" s="47"/>
      <c r="BE973" s="47"/>
      <c r="BF973" s="47"/>
      <c r="BG973" s="47"/>
    </row>
    <row r="974" spans="2:59" ht="15.75" customHeight="1">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7"/>
      <c r="AC974" s="47"/>
      <c r="AD974" s="47"/>
      <c r="AE974" s="47"/>
      <c r="AF974" s="47"/>
      <c r="AG974" s="47"/>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row>
    <row r="975" spans="2:59" ht="15.75" customHeight="1">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7"/>
      <c r="AC975" s="47"/>
      <c r="AD975" s="47"/>
      <c r="AE975" s="47"/>
      <c r="AF975" s="47"/>
      <c r="AG975" s="47"/>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row>
    <row r="976" spans="2:59" ht="15.75" customHeight="1">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7"/>
      <c r="AC976" s="47"/>
      <c r="AD976" s="47"/>
      <c r="AE976" s="47"/>
      <c r="AF976" s="47"/>
      <c r="AG976" s="47"/>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row>
    <row r="977" spans="2:59" ht="15.75" customHeight="1">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7"/>
      <c r="AC977" s="47"/>
      <c r="AD977" s="47"/>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row>
    <row r="978" spans="2:59" ht="15.75" customHeight="1">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7"/>
      <c r="AC978" s="47"/>
      <c r="AD978" s="47"/>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row>
    <row r="979" spans="2:59" ht="15.75" customHeight="1">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7"/>
      <c r="AC979" s="47"/>
      <c r="AD979" s="47"/>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row>
    <row r="980" spans="2:59" ht="15.75" customHeight="1">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7"/>
      <c r="AC980" s="47"/>
      <c r="AD980" s="47"/>
      <c r="AE980" s="47"/>
      <c r="AF980" s="47"/>
      <c r="AG980" s="47"/>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row>
    <row r="981" spans="2:59" ht="15.75" customHeight="1">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7"/>
      <c r="AC981" s="47"/>
      <c r="AD981" s="47"/>
      <c r="AE981" s="47"/>
      <c r="AF981" s="47"/>
      <c r="AG981" s="47"/>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row>
    <row r="982" spans="2:59" ht="15.75" customHeight="1">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7"/>
      <c r="AC982" s="47"/>
      <c r="AD982" s="47"/>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row>
    <row r="983" spans="2:59" ht="15.75" customHeight="1">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7"/>
      <c r="AC983" s="47"/>
      <c r="AD983" s="47"/>
      <c r="AE983" s="47"/>
      <c r="AF983" s="47"/>
      <c r="AG983" s="47"/>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row>
    <row r="984" spans="2:59" ht="15.75" customHeight="1">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7"/>
      <c r="AC984" s="47"/>
      <c r="AD984" s="47"/>
      <c r="AE984" s="47"/>
      <c r="AF984" s="47"/>
      <c r="AG984" s="47"/>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row>
    <row r="985" spans="2:59" ht="15.75" customHeight="1">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7"/>
      <c r="AC985" s="47"/>
      <c r="AD985" s="47"/>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row>
    <row r="986" spans="2:59" ht="15.75" customHeight="1">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7"/>
      <c r="AC986" s="47"/>
      <c r="AD986" s="47"/>
      <c r="AE986" s="47"/>
      <c r="AF986" s="47"/>
      <c r="AG986" s="47"/>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row>
    <row r="987" spans="2:59" ht="15.75" customHeight="1">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7"/>
      <c r="AC987" s="47"/>
      <c r="AD987" s="47"/>
      <c r="AE987" s="47"/>
      <c r="AF987" s="47"/>
      <c r="AG987" s="47"/>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row>
    <row r="988" spans="2:59" ht="15.75" customHeight="1">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7"/>
      <c r="AC988" s="47"/>
      <c r="AD988" s="47"/>
      <c r="AE988" s="47"/>
      <c r="AF988" s="47"/>
      <c r="AG988" s="47"/>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row>
    <row r="989" spans="2:59" ht="15.75" customHeight="1">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7"/>
      <c r="AC989" s="47"/>
      <c r="AD989" s="47"/>
      <c r="AE989" s="47"/>
      <c r="AF989" s="47"/>
      <c r="AG989" s="47"/>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row>
    <row r="990" spans="2:59" ht="15.75" customHeight="1">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7"/>
      <c r="AC990" s="47"/>
      <c r="AD990" s="47"/>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c r="BG990" s="47"/>
    </row>
    <row r="991" spans="2:59" ht="15.75" customHeight="1">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row>
    <row r="992" spans="2:59" ht="15.75" customHeight="1">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row>
    <row r="993" spans="2:59" ht="15.75" customHeight="1">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row>
    <row r="994" spans="2:59" ht="15.75" customHeight="1">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row>
    <row r="995" spans="2:59" ht="15.75" customHeight="1">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row>
    <row r="996" spans="2:59" ht="15.75" customHeight="1">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row>
    <row r="997" spans="2:59" ht="15.75" customHeight="1">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row>
    <row r="998" spans="2:59" ht="15.75" customHeight="1">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row>
    <row r="999" spans="2:59" ht="15.75" customHeight="1">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row>
    <row r="1000" spans="2:59" ht="15.75" customHeight="1">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7"/>
      <c r="AC1000" s="47"/>
      <c r="AD1000" s="47"/>
      <c r="AE1000" s="47"/>
      <c r="AF1000" s="47"/>
      <c r="AG1000" s="47"/>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row>
    <row r="1001" spans="2:59" ht="15.75" customHeight="1">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7"/>
      <c r="AC1001" s="47"/>
      <c r="AD1001" s="47"/>
      <c r="AE1001" s="47"/>
      <c r="AF1001" s="47"/>
      <c r="AG1001" s="47"/>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c r="BG1001" s="47"/>
    </row>
    <row r="1002" spans="2:59" ht="15.75" customHeight="1">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7"/>
      <c r="AC1002" s="47"/>
      <c r="AD1002" s="47"/>
      <c r="AE1002" s="47"/>
      <c r="AF1002" s="47"/>
      <c r="AG1002" s="47"/>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c r="BG1002" s="47"/>
    </row>
    <row r="1003" spans="2:59" ht="15.75" customHeight="1">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7"/>
      <c r="AC1003" s="47"/>
      <c r="AD1003" s="47"/>
      <c r="AE1003" s="47"/>
      <c r="AF1003" s="47"/>
      <c r="AG1003" s="47"/>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c r="BG1003" s="47"/>
    </row>
    <row r="1004" spans="2:59" ht="15.75" customHeight="1">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7"/>
      <c r="AC1004" s="47"/>
      <c r="AD1004" s="47"/>
      <c r="AE1004" s="47"/>
      <c r="AF1004" s="47"/>
      <c r="AG1004" s="47"/>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c r="BG1004" s="47"/>
    </row>
    <row r="1005" spans="2:59" ht="15.75" customHeight="1">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7"/>
      <c r="AC1005" s="47"/>
      <c r="AD1005" s="47"/>
      <c r="AE1005" s="47"/>
      <c r="AF1005" s="47"/>
      <c r="AG1005" s="47"/>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c r="BG1005" s="47"/>
    </row>
  </sheetData>
  <sheetProtection sheet="1" scenarios="1" formatCells="0" formatColumns="0" formatRows="0" sort="0" autoFilter="0"/>
  <mergeCells count="14">
    <mergeCell ref="D4:F4"/>
    <mergeCell ref="R7:T7"/>
    <mergeCell ref="R9:T9"/>
    <mergeCell ref="R4:W4"/>
    <mergeCell ref="R8:T8"/>
    <mergeCell ref="U9:W9"/>
    <mergeCell ref="U7:W7"/>
    <mergeCell ref="U8:W8"/>
    <mergeCell ref="R6:T6"/>
    <mergeCell ref="U6:W6"/>
    <mergeCell ref="D9:Q9"/>
    <mergeCell ref="D7:H8"/>
    <mergeCell ref="U5:W5"/>
    <mergeCell ref="R5:T5"/>
  </mergeCells>
  <dataValidations count="32">
    <dataValidation type="list" allowBlank="1" errorTitle="Invalid team" error="Pick one of the two teams in this match" sqref="W84" xr:uid="{00000000-0002-0000-0400-000000000000}">
      <formula1>$I$84:$J$84</formula1>
    </dataValidation>
    <dataValidation type="list" allowBlank="1" errorTitle="Invalid team" error="Pick one of the two teams in this match" sqref="W85" xr:uid="{00000000-0002-0000-0400-000001000000}">
      <formula1>$I$85:$J$85</formula1>
    </dataValidation>
    <dataValidation type="list" allowBlank="1" errorTitle="Invalid team" error="Pick one of the two teams in this match" sqref="W86" xr:uid="{00000000-0002-0000-0400-000002000000}">
      <formula1>$I$86:$J$86</formula1>
    </dataValidation>
    <dataValidation type="list" allowBlank="1" errorTitle="Invalid team" error="Pick one of the two teams in this match" sqref="W87" xr:uid="{00000000-0002-0000-0400-000003000000}">
      <formula1>$I$87:$J$87</formula1>
    </dataValidation>
    <dataValidation type="list" allowBlank="1" errorTitle="Invalid team" error="Pick one of the two teams in this match" sqref="W88" xr:uid="{00000000-0002-0000-0400-000004000000}">
      <formula1>$I$88:$J$88</formula1>
    </dataValidation>
    <dataValidation type="list" allowBlank="1" errorTitle="Invalid team" error="Pick one of the two teams in this match" sqref="W89" xr:uid="{00000000-0002-0000-0400-000005000000}">
      <formula1>$I$89:$J$89</formula1>
    </dataValidation>
    <dataValidation type="list" allowBlank="1" errorTitle="Invalid team" error="Pick one of the two teams in this match" sqref="W90" xr:uid="{00000000-0002-0000-0400-000006000000}">
      <formula1>$I$90:$J$90</formula1>
    </dataValidation>
    <dataValidation type="list" allowBlank="1" errorTitle="Invalid team" error="Pick one of the two teams in this match" sqref="W91" xr:uid="{00000000-0002-0000-0400-000007000000}">
      <formula1>$I$91:$J$91</formula1>
    </dataValidation>
    <dataValidation type="list" allowBlank="1" errorTitle="Invalid team" error="Pick one of the two teams in this match" sqref="W92" xr:uid="{00000000-0002-0000-0400-000008000000}">
      <formula1>$I$92:$J$92</formula1>
    </dataValidation>
    <dataValidation type="list" allowBlank="1" errorTitle="Invalid team" error="Pick one of the two teams in this match" sqref="W93" xr:uid="{00000000-0002-0000-0400-000009000000}">
      <formula1>$I$93:$J$93</formula1>
    </dataValidation>
    <dataValidation type="list" allowBlank="1" errorTitle="Invalid team" error="Pick one of the two teams in this match" sqref="W94" xr:uid="{00000000-0002-0000-0400-00000A000000}">
      <formula1>$I$94:$J$94</formula1>
    </dataValidation>
    <dataValidation type="list" allowBlank="1" errorTitle="Invalid team" error="Pick one of the two teams in this match" sqref="W95" xr:uid="{00000000-0002-0000-0400-00000B000000}">
      <formula1>$I$95:$J$95</formula1>
    </dataValidation>
    <dataValidation type="list" allowBlank="1" errorTitle="Invalid team" error="Pick one of the two teams in this match" sqref="W96" xr:uid="{00000000-0002-0000-0400-00000C000000}">
      <formula1>$I$96:$J$96</formula1>
    </dataValidation>
    <dataValidation type="list" allowBlank="1" errorTitle="Invalid team" error="Pick one of the two teams in this match" sqref="W97" xr:uid="{00000000-0002-0000-0400-00000D000000}">
      <formula1>$I$97:$J$97</formula1>
    </dataValidation>
    <dataValidation type="list" allowBlank="1" errorTitle="Invalid team" error="Pick one of the two teams in this match" sqref="W98" xr:uid="{00000000-0002-0000-0400-00000E000000}">
      <formula1>$I$98:$J$98</formula1>
    </dataValidation>
    <dataValidation type="list" allowBlank="1" errorTitle="Invalid team" error="Pick one of the two teams in this match" sqref="W99" xr:uid="{00000000-0002-0000-0400-00000F000000}">
      <formula1>$I$99:$J$99</formula1>
    </dataValidation>
    <dataValidation type="list" allowBlank="1" errorTitle="Invalid team" error="Pick one of the two teams in this match" sqref="W100" xr:uid="{00000000-0002-0000-0400-000010000000}">
      <formula1>$I$100:$J$100</formula1>
    </dataValidation>
    <dataValidation type="list" allowBlank="1" errorTitle="Invalid team" error="Pick one of the two teams in this match" sqref="W101" xr:uid="{00000000-0002-0000-0400-000011000000}">
      <formula1>$I$101:$J$101</formula1>
    </dataValidation>
    <dataValidation type="list" allowBlank="1" errorTitle="Invalid team" error="Pick one of the two teams in this match" sqref="W102" xr:uid="{00000000-0002-0000-0400-000012000000}">
      <formula1>$I$102:$J$102</formula1>
    </dataValidation>
    <dataValidation type="list" allowBlank="1" errorTitle="Invalid team" error="Pick one of the two teams in this match" sqref="W103" xr:uid="{00000000-0002-0000-0400-000013000000}">
      <formula1>$I$103:$J$103</formula1>
    </dataValidation>
    <dataValidation type="list" allowBlank="1" errorTitle="Invalid team" error="Pick one of the two teams in this match" sqref="W104" xr:uid="{00000000-0002-0000-0400-000014000000}">
      <formula1>$I$104:$J$104</formula1>
    </dataValidation>
    <dataValidation type="list" allowBlank="1" errorTitle="Invalid team" error="Pick one of the two teams in this match" sqref="W105" xr:uid="{00000000-0002-0000-0400-000015000000}">
      <formula1>$I$105:$J$105</formula1>
    </dataValidation>
    <dataValidation type="list" allowBlank="1" errorTitle="Invalid team" error="Pick one of the two teams in this match" sqref="W106" xr:uid="{00000000-0002-0000-0400-000016000000}">
      <formula1>$I$106:$J$106</formula1>
    </dataValidation>
    <dataValidation type="list" allowBlank="1" errorTitle="Invalid team" error="Pick one of the two teams in this match" sqref="W107" xr:uid="{00000000-0002-0000-0400-000017000000}">
      <formula1>$I$107:$J$107</formula1>
    </dataValidation>
    <dataValidation type="list" allowBlank="1" errorTitle="Invalid team" error="Pick one of the two teams in this match" sqref="W108" xr:uid="{00000000-0002-0000-0400-000018000000}">
      <formula1>$I$108:$J$108</formula1>
    </dataValidation>
    <dataValidation type="list" allowBlank="1" errorTitle="Invalid team" error="Pick one of the two teams in this match" sqref="W109" xr:uid="{00000000-0002-0000-0400-000019000000}">
      <formula1>$I$109:$J$109</formula1>
    </dataValidation>
    <dataValidation type="list" allowBlank="1" errorTitle="Invalid team" error="Pick one of the two teams in this match" sqref="W110" xr:uid="{00000000-0002-0000-0400-00001A000000}">
      <formula1>$I$110:$J$110</formula1>
    </dataValidation>
    <dataValidation type="list" allowBlank="1" errorTitle="Invalid team" error="Pick one of the two teams in this match" sqref="W111" xr:uid="{00000000-0002-0000-0400-00001B000000}">
      <formula1>$I$111:$J$111</formula1>
    </dataValidation>
    <dataValidation type="list" allowBlank="1" errorTitle="Invalid team" error="Pick one of the two teams in this match" sqref="W112" xr:uid="{00000000-0002-0000-0400-00001C000000}">
      <formula1>$I$112:$J$112</formula1>
    </dataValidation>
    <dataValidation type="list" allowBlank="1" errorTitle="Invalid team" error="Pick one of the two teams in this match" sqref="W113" xr:uid="{00000000-0002-0000-0400-00001D000000}">
      <formula1>$I$113:$J$113</formula1>
    </dataValidation>
    <dataValidation type="list" allowBlank="1" errorTitle="Invalid team" error="Pick one of the two teams in this match" sqref="W114" xr:uid="{00000000-0002-0000-0400-00001E000000}">
      <formula1>$I$114:$J$114</formula1>
    </dataValidation>
    <dataValidation type="list" allowBlank="1" errorTitle="Invalid team" error="Pick one of the two teams in this match" sqref="W115" xr:uid="{00000000-0002-0000-0400-00001F000000}">
      <formula1>$I$115:$J$115</formula1>
    </dataValidation>
  </dataValidations>
  <pageMargins left="0.75" right="0.75" top="1" bottom="1"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B5E2B"/>
  </sheetPr>
  <dimension ref="A1:CM1000"/>
  <sheetViews>
    <sheetView showGridLines="0" zoomScaleNormal="100" workbookViewId="0"/>
  </sheetViews>
  <sheetFormatPr baseColWidth="10" defaultColWidth="11.28515625" defaultRowHeight="15" customHeight="1"/>
  <cols>
    <col min="1" max="1" width="1.28515625" style="241" customWidth="1"/>
    <col min="2" max="2" width="1.28515625" style="164" customWidth="1"/>
    <col min="3" max="3" width="1.28515625" style="70" customWidth="1"/>
    <col min="4" max="4" width="4.42578125" style="70" customWidth="1"/>
    <col min="5" max="5" width="5" style="70" customWidth="1"/>
    <col min="6" max="6" width="11" style="70" customWidth="1"/>
    <col min="7" max="7" width="7" style="70" customWidth="1"/>
    <col min="8" max="8" width="14.42578125" style="70" customWidth="1"/>
    <col min="9" max="9" width="6" style="70" customWidth="1"/>
    <col min="10" max="10" width="6.28515625" style="70" customWidth="1"/>
    <col min="11" max="11" width="8" style="70" customWidth="1"/>
    <col min="12" max="12" width="8.28515625" style="70" customWidth="1"/>
    <col min="13" max="13" width="4.140625" style="164" customWidth="1"/>
    <col min="14" max="14" width="10.7109375" style="70" customWidth="1"/>
    <col min="15" max="15" width="5" style="70" customWidth="1"/>
    <col min="16" max="16" width="11" style="70" customWidth="1"/>
    <col min="17" max="17" width="7" style="70" customWidth="1"/>
    <col min="18" max="18" width="4" style="70" customWidth="1"/>
    <col min="19" max="19" width="6" style="70" customWidth="1"/>
    <col min="20" max="21" width="8" style="70" customWidth="1"/>
    <col min="22" max="22" width="6" style="70" customWidth="1"/>
    <col min="23" max="23" width="5.28515625" style="70" customWidth="1"/>
    <col min="24" max="24" width="1.28515625" style="70" customWidth="1"/>
    <col min="25" max="31" width="13" style="134" customWidth="1"/>
    <col min="32" max="91" width="11.28515625" style="134" customWidth="1"/>
    <col min="92" max="98" width="11.28515625" style="70" customWidth="1"/>
    <col min="99" max="16384" width="11.28515625" style="70"/>
  </cols>
  <sheetData>
    <row r="1" spans="1:91" ht="7.5" customHeight="1">
      <c r="B1" s="68"/>
      <c r="C1" s="68"/>
      <c r="D1" s="68"/>
      <c r="E1" s="68"/>
      <c r="F1" s="68"/>
      <c r="G1" s="68"/>
      <c r="H1" s="68"/>
      <c r="I1" s="68"/>
      <c r="J1" s="68"/>
      <c r="K1" s="68"/>
      <c r="L1" s="68"/>
      <c r="M1" s="131"/>
      <c r="N1" s="68"/>
      <c r="O1" s="68"/>
      <c r="P1" s="68"/>
      <c r="Q1" s="68"/>
      <c r="R1" s="68"/>
      <c r="S1" s="68"/>
      <c r="T1" s="68"/>
      <c r="U1" s="68"/>
      <c r="V1" s="68"/>
      <c r="W1" s="68"/>
      <c r="X1" s="68"/>
      <c r="Y1" s="133"/>
      <c r="Z1" s="133"/>
      <c r="AA1" s="133"/>
      <c r="AB1" s="133"/>
      <c r="AC1" s="133"/>
      <c r="AD1" s="133"/>
      <c r="AE1" s="133"/>
    </row>
    <row r="2" spans="1:91" s="164" customFormat="1" ht="7.5" customHeight="1">
      <c r="A2" s="241"/>
      <c r="B2" s="131"/>
      <c r="C2" s="131"/>
      <c r="D2" s="131"/>
      <c r="E2" s="131"/>
      <c r="F2" s="131"/>
      <c r="G2" s="131"/>
      <c r="H2" s="131"/>
      <c r="I2" s="131"/>
      <c r="J2" s="131"/>
      <c r="K2" s="131"/>
      <c r="L2" s="131"/>
      <c r="M2" s="131"/>
      <c r="N2" s="131"/>
      <c r="O2" s="131"/>
      <c r="P2" s="131"/>
      <c r="Q2" s="131"/>
      <c r="R2" s="131"/>
      <c r="S2" s="131"/>
      <c r="T2" s="131"/>
      <c r="U2" s="131"/>
      <c r="V2" s="131"/>
      <c r="W2" s="131"/>
      <c r="X2" s="131"/>
      <c r="Y2" s="135"/>
      <c r="Z2" s="135"/>
      <c r="AA2" s="135"/>
      <c r="AB2" s="135"/>
      <c r="AC2" s="135"/>
      <c r="AD2" s="135"/>
      <c r="AE2" s="135"/>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row>
    <row r="3" spans="1:91" s="164" customFormat="1" ht="7.5" customHeight="1" thickBot="1">
      <c r="A3" s="241"/>
      <c r="B3" s="131"/>
      <c r="C3" s="131"/>
      <c r="D3" s="243"/>
      <c r="E3" s="243"/>
      <c r="F3" s="243"/>
      <c r="G3" s="243"/>
      <c r="H3" s="243"/>
      <c r="I3" s="243"/>
      <c r="J3" s="243"/>
      <c r="K3" s="243"/>
      <c r="L3" s="243"/>
      <c r="M3" s="243"/>
      <c r="N3" s="243"/>
      <c r="O3" s="243"/>
      <c r="P3" s="243"/>
      <c r="Q3" s="243"/>
      <c r="R3" s="243"/>
      <c r="S3" s="243"/>
      <c r="T3" s="243"/>
      <c r="U3" s="243"/>
      <c r="V3" s="243"/>
      <c r="W3" s="243"/>
      <c r="X3" s="131"/>
      <c r="Y3" s="135"/>
      <c r="Z3" s="135"/>
      <c r="AA3" s="135"/>
      <c r="AB3" s="135"/>
      <c r="AC3" s="135"/>
      <c r="AD3" s="135"/>
      <c r="AE3" s="135"/>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row>
    <row r="4" spans="1:91" ht="32" customHeight="1" thickTop="1">
      <c r="B4" s="68"/>
      <c r="C4" s="242"/>
      <c r="D4" s="273" t="str">
        <f>HYPERLINK("https://www.justgiving.com/page/predictforpsc",VLOOKUP("btn_donate_now",langTable,MATCH(langName,_lang!$A$1:$F$1,0),FALSE()))</f>
        <v>♥ DONATE NOW</v>
      </c>
      <c r="E4" s="274"/>
      <c r="F4" s="275"/>
      <c r="G4" s="68"/>
      <c r="H4" s="68"/>
      <c r="I4" s="68"/>
      <c r="J4" s="68"/>
      <c r="K4" s="68"/>
      <c r="L4" s="68"/>
      <c r="M4" s="131"/>
      <c r="N4" s="68"/>
      <c r="O4" s="68"/>
      <c r="P4" s="68"/>
      <c r="Q4" s="68"/>
      <c r="R4" s="68"/>
      <c r="S4" s="68"/>
      <c r="T4" s="68"/>
      <c r="U4" s="68"/>
      <c r="V4" s="68"/>
      <c r="W4" s="68"/>
      <c r="X4" s="245"/>
      <c r="Y4" s="133"/>
      <c r="Z4" s="133"/>
      <c r="AA4" s="133"/>
      <c r="AB4" s="133"/>
      <c r="AC4" s="133"/>
      <c r="AD4" s="133"/>
      <c r="AE4" s="133"/>
    </row>
    <row r="5" spans="1:91" s="164" customFormat="1" ht="7.5" customHeight="1">
      <c r="A5" s="241"/>
      <c r="B5" s="131"/>
      <c r="C5" s="242"/>
      <c r="D5" s="244"/>
      <c r="E5" s="244"/>
      <c r="F5" s="244"/>
      <c r="G5" s="244"/>
      <c r="H5" s="244"/>
      <c r="I5" s="244"/>
      <c r="J5" s="244"/>
      <c r="K5" s="244"/>
      <c r="L5" s="244"/>
      <c r="M5" s="244"/>
      <c r="N5" s="244"/>
      <c r="O5" s="244"/>
      <c r="P5" s="244"/>
      <c r="Q5" s="244"/>
      <c r="R5" s="244"/>
      <c r="S5" s="244"/>
      <c r="T5" s="244"/>
      <c r="U5" s="244"/>
      <c r="V5" s="244"/>
      <c r="W5" s="244"/>
      <c r="X5" s="245"/>
      <c r="Y5" s="135"/>
      <c r="Z5" s="135"/>
      <c r="AA5" s="135"/>
      <c r="AB5" s="135"/>
      <c r="AC5" s="135"/>
      <c r="AD5" s="135"/>
      <c r="AE5" s="135"/>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row>
    <row r="6" spans="1:91" ht="26" customHeight="1">
      <c r="B6" s="68"/>
      <c r="C6" s="242"/>
      <c r="D6" s="365" t="str">
        <f>VLOOKUP("SW_TITLE",langTable,MATCH(langName,_lang!$A$1:$F$1,0),FALSE())</f>
        <v>&gt;&gt;&gt; SWEEPSTAKE</v>
      </c>
      <c r="E6" s="352"/>
      <c r="F6" s="352"/>
      <c r="G6" s="352"/>
      <c r="H6" s="352"/>
      <c r="I6" s="352"/>
      <c r="J6" s="352"/>
      <c r="K6" s="352"/>
      <c r="L6" s="352"/>
      <c r="M6" s="158"/>
      <c r="N6" s="68"/>
      <c r="O6" s="68"/>
      <c r="P6" s="68"/>
      <c r="Q6" s="68"/>
      <c r="R6" s="68"/>
      <c r="S6" s="68"/>
      <c r="T6" s="68"/>
      <c r="U6" s="68"/>
      <c r="V6" s="68"/>
      <c r="W6" s="68"/>
      <c r="X6" s="245"/>
      <c r="Y6" s="133"/>
      <c r="Z6" s="133"/>
      <c r="AA6" s="133"/>
      <c r="AB6" s="133"/>
      <c r="AC6" s="133"/>
      <c r="AD6" s="133"/>
      <c r="AE6" s="133"/>
    </row>
    <row r="7" spans="1:91" ht="15" customHeight="1">
      <c r="B7" s="68"/>
      <c r="C7" s="242"/>
      <c r="D7" s="352"/>
      <c r="E7" s="352"/>
      <c r="F7" s="352"/>
      <c r="G7" s="352"/>
      <c r="H7" s="352"/>
      <c r="I7" s="352"/>
      <c r="J7" s="352"/>
      <c r="K7" s="352"/>
      <c r="L7" s="352"/>
      <c r="M7" s="158"/>
      <c r="N7" s="68"/>
      <c r="O7" s="68"/>
      <c r="P7" s="68"/>
      <c r="Q7" s="68"/>
      <c r="R7" s="68"/>
      <c r="S7" s="68"/>
      <c r="T7" s="68"/>
      <c r="U7" s="68"/>
      <c r="V7" s="68"/>
      <c r="W7" s="68"/>
      <c r="X7" s="245"/>
      <c r="Y7" s="133"/>
      <c r="Z7" s="133"/>
      <c r="AA7" s="133"/>
      <c r="AB7" s="133"/>
      <c r="AC7" s="133"/>
      <c r="AD7" s="133"/>
      <c r="AE7" s="133"/>
    </row>
    <row r="8" spans="1:91" ht="18" customHeight="1">
      <c r="B8" s="68"/>
      <c r="C8" s="242"/>
      <c r="D8" s="382" t="str">
        <f>VLOOKUP("sw_intro",langTable,MATCH(langName,_lang!$A$1:$F$1,0),FALSE())</f>
        <v>Type a player's name next to each team. Same name on multiple teams is fine. Set your own prizes for the three winners. Results lock in at the final whistle.</v>
      </c>
      <c r="E8" s="352"/>
      <c r="F8" s="352"/>
      <c r="G8" s="352"/>
      <c r="H8" s="352"/>
      <c r="I8" s="352"/>
      <c r="J8" s="352"/>
      <c r="K8" s="352"/>
      <c r="L8" s="352"/>
      <c r="M8" s="374"/>
      <c r="N8" s="352"/>
      <c r="O8" s="352"/>
      <c r="P8" s="352"/>
      <c r="Q8" s="352"/>
      <c r="R8" s="352"/>
      <c r="S8" s="352"/>
      <c r="T8" s="352"/>
      <c r="U8" s="352"/>
      <c r="V8" s="352"/>
      <c r="W8" s="352"/>
      <c r="X8" s="245"/>
      <c r="Y8" s="133"/>
      <c r="Z8" s="133"/>
      <c r="AA8" s="133"/>
      <c r="AB8" s="133"/>
      <c r="AC8" s="133"/>
      <c r="AD8" s="133"/>
      <c r="AE8" s="133"/>
    </row>
    <row r="9" spans="1:91" ht="18" customHeight="1">
      <c r="B9" s="68"/>
      <c r="C9" s="242"/>
      <c r="D9" s="352"/>
      <c r="E9" s="352"/>
      <c r="F9" s="352"/>
      <c r="G9" s="352"/>
      <c r="H9" s="352"/>
      <c r="I9" s="352"/>
      <c r="J9" s="352"/>
      <c r="K9" s="352"/>
      <c r="L9" s="352"/>
      <c r="M9" s="374"/>
      <c r="N9" s="352"/>
      <c r="O9" s="352"/>
      <c r="P9" s="352"/>
      <c r="Q9" s="352"/>
      <c r="R9" s="352"/>
      <c r="S9" s="352"/>
      <c r="T9" s="352"/>
      <c r="U9" s="352"/>
      <c r="V9" s="352"/>
      <c r="W9" s="352"/>
      <c r="X9" s="245"/>
      <c r="Y9" s="133"/>
      <c r="Z9" s="133"/>
      <c r="AA9" s="133"/>
      <c r="AB9" s="133"/>
      <c r="AC9" s="133"/>
      <c r="AD9" s="133"/>
      <c r="AE9" s="133"/>
    </row>
    <row r="10" spans="1:91" ht="15" customHeight="1">
      <c r="B10" s="68"/>
      <c r="C10" s="242"/>
      <c r="D10" s="68"/>
      <c r="E10" s="68"/>
      <c r="F10" s="68"/>
      <c r="G10" s="68"/>
      <c r="H10" s="263"/>
      <c r="I10" s="68"/>
      <c r="J10" s="68"/>
      <c r="K10" s="68"/>
      <c r="L10" s="68"/>
      <c r="M10" s="131"/>
      <c r="N10" s="68"/>
      <c r="O10" s="68"/>
      <c r="P10" s="68"/>
      <c r="Q10" s="68"/>
      <c r="R10" s="68"/>
      <c r="S10" s="68"/>
      <c r="T10" s="68"/>
      <c r="U10" s="68"/>
      <c r="V10" s="68"/>
      <c r="W10" s="68"/>
      <c r="X10" s="245"/>
      <c r="Y10" s="133"/>
      <c r="Z10" s="133"/>
      <c r="AA10" s="133"/>
      <c r="AB10" s="133"/>
      <c r="AC10" s="133"/>
      <c r="AD10" s="133"/>
      <c r="AE10" s="133"/>
    </row>
    <row r="11" spans="1:91" ht="15" customHeight="1">
      <c r="B11" s="68"/>
      <c r="C11" s="242"/>
      <c r="D11" s="68"/>
      <c r="E11" s="68"/>
      <c r="F11" s="68"/>
      <c r="G11" s="68"/>
      <c r="H11" s="263"/>
      <c r="I11" s="68"/>
      <c r="J11" s="69"/>
      <c r="K11" s="68"/>
      <c r="L11" s="68"/>
      <c r="M11" s="131"/>
      <c r="N11" s="68"/>
      <c r="O11" s="68"/>
      <c r="P11" s="68"/>
      <c r="Q11" s="68"/>
      <c r="R11" s="68"/>
      <c r="S11" s="68"/>
      <c r="T11" s="68"/>
      <c r="U11" s="68"/>
      <c r="V11" s="68"/>
      <c r="W11" s="68"/>
      <c r="X11" s="245"/>
      <c r="Y11" s="133"/>
      <c r="Z11" s="133"/>
      <c r="AA11" s="133"/>
      <c r="AB11" s="133"/>
      <c r="AC11" s="133"/>
      <c r="AD11" s="133"/>
      <c r="AE11" s="133"/>
    </row>
    <row r="12" spans="1:91" ht="26" customHeight="1">
      <c r="B12" s="68"/>
      <c r="C12" s="242"/>
      <c r="D12" s="369" t="str">
        <f>""&amp;VLOOKUP("sw_prizes_title",langTable,MATCH(langName,_lang!$A$1:$F$1,0),FALSE())</f>
        <v xml:space="preserve"> &gt;&gt;&gt; PRIZES</v>
      </c>
      <c r="E12" s="368"/>
      <c r="F12" s="368"/>
      <c r="G12" s="368"/>
      <c r="H12" s="368"/>
      <c r="I12" s="165"/>
      <c r="J12" s="165"/>
      <c r="K12" s="165"/>
      <c r="L12" s="165"/>
      <c r="M12" s="167"/>
      <c r="N12" s="165"/>
      <c r="O12" s="165"/>
      <c r="P12" s="165"/>
      <c r="Q12" s="165"/>
      <c r="R12" s="165"/>
      <c r="S12" s="165"/>
      <c r="T12" s="165"/>
      <c r="U12" s="165"/>
      <c r="V12" s="165"/>
      <c r="W12" s="165"/>
      <c r="X12" s="245"/>
      <c r="Y12" s="133"/>
      <c r="Z12" s="133"/>
      <c r="AA12" s="133"/>
      <c r="AB12" s="133"/>
      <c r="AC12" s="133"/>
      <c r="AD12" s="133"/>
      <c r="AE12" s="133"/>
    </row>
    <row r="13" spans="1:91" ht="26" customHeight="1">
      <c r="B13" s="68"/>
      <c r="C13" s="242"/>
      <c r="D13" s="381" t="str">
        <f>"  🏆  "&amp;VLOOKUP("sw_pos_1",langTable,MATCH(langName,_lang!$A$1:$F$1,0),FALSE())</f>
        <v xml:space="preserve">  🏆  1st  ·  WINNERS</v>
      </c>
      <c r="E13" s="362"/>
      <c r="F13" s="362"/>
      <c r="G13" s="362"/>
      <c r="H13" s="363"/>
      <c r="I13" s="364"/>
      <c r="J13" s="362"/>
      <c r="K13" s="362"/>
      <c r="L13" s="362"/>
      <c r="M13" s="362"/>
      <c r="N13" s="362"/>
      <c r="O13" s="362"/>
      <c r="P13" s="362"/>
      <c r="Q13" s="362"/>
      <c r="R13" s="362"/>
      <c r="S13" s="362"/>
      <c r="T13" s="362"/>
      <c r="U13" s="362"/>
      <c r="V13" s="362"/>
      <c r="W13" s="363"/>
      <c r="X13" s="245"/>
      <c r="Y13" s="133"/>
      <c r="Z13" s="133"/>
      <c r="AA13" s="133"/>
      <c r="AB13" s="133"/>
      <c r="AC13" s="133"/>
      <c r="AD13" s="133"/>
      <c r="AE13" s="133"/>
    </row>
    <row r="14" spans="1:91" ht="26" customHeight="1">
      <c r="B14" s="68"/>
      <c r="C14" s="242"/>
      <c r="D14" s="370" t="str">
        <f>"  🥈  "&amp;VLOOKUP("sw_pos_2",langTable,MATCH(langName,_lang!$A$1:$F$1,0),FALSE())</f>
        <v xml:space="preserve">  🥈  2nd  ·  RUNNERS-UP</v>
      </c>
      <c r="E14" s="362"/>
      <c r="F14" s="362"/>
      <c r="G14" s="362"/>
      <c r="H14" s="363"/>
      <c r="I14" s="364"/>
      <c r="J14" s="362"/>
      <c r="K14" s="362"/>
      <c r="L14" s="362"/>
      <c r="M14" s="362"/>
      <c r="N14" s="362"/>
      <c r="O14" s="362"/>
      <c r="P14" s="362"/>
      <c r="Q14" s="362"/>
      <c r="R14" s="362"/>
      <c r="S14" s="362"/>
      <c r="T14" s="362"/>
      <c r="U14" s="362"/>
      <c r="V14" s="362"/>
      <c r="W14" s="363"/>
      <c r="X14" s="245"/>
      <c r="Y14" s="133"/>
      <c r="Z14" s="133"/>
      <c r="AA14" s="133"/>
      <c r="AB14" s="133"/>
      <c r="AC14" s="133"/>
      <c r="AD14" s="133"/>
      <c r="AE14" s="133"/>
    </row>
    <row r="15" spans="1:91" ht="26" customHeight="1">
      <c r="B15" s="68"/>
      <c r="C15" s="242"/>
      <c r="D15" s="384" t="str">
        <f>"  🥉  "&amp;VLOOKUP("sw_pos_3",langTable,MATCH(langName,_lang!$A$1:$F$1,0),FALSE())</f>
        <v xml:space="preserve">  🥉  3rd  ·  3RD-PLACE PLAY-OFF WINNERS</v>
      </c>
      <c r="E15" s="362"/>
      <c r="F15" s="362"/>
      <c r="G15" s="362"/>
      <c r="H15" s="363"/>
      <c r="I15" s="364"/>
      <c r="J15" s="362"/>
      <c r="K15" s="362"/>
      <c r="L15" s="362"/>
      <c r="M15" s="362"/>
      <c r="N15" s="362"/>
      <c r="O15" s="362"/>
      <c r="P15" s="362"/>
      <c r="Q15" s="362"/>
      <c r="R15" s="362"/>
      <c r="S15" s="362"/>
      <c r="T15" s="362"/>
      <c r="U15" s="362"/>
      <c r="V15" s="362"/>
      <c r="W15" s="363"/>
      <c r="X15" s="245"/>
      <c r="Y15" s="133"/>
      <c r="Z15" s="133"/>
      <c r="AA15" s="133"/>
      <c r="AB15" s="133"/>
      <c r="AC15" s="133"/>
      <c r="AD15" s="133"/>
      <c r="AE15" s="133"/>
    </row>
    <row r="16" spans="1:91" ht="8" customHeight="1">
      <c r="B16" s="68"/>
      <c r="C16" s="242"/>
      <c r="D16" s="68"/>
      <c r="E16" s="68"/>
      <c r="F16" s="68"/>
      <c r="G16" s="68"/>
      <c r="H16" s="68"/>
      <c r="I16" s="68"/>
      <c r="J16" s="68"/>
      <c r="K16" s="68"/>
      <c r="L16" s="68"/>
      <c r="M16" s="131"/>
      <c r="N16" s="68"/>
      <c r="O16" s="68"/>
      <c r="P16" s="68"/>
      <c r="Q16" s="68"/>
      <c r="R16" s="68"/>
      <c r="S16" s="68"/>
      <c r="T16" s="68"/>
      <c r="U16" s="68"/>
      <c r="V16" s="68"/>
      <c r="W16" s="68"/>
      <c r="X16" s="245"/>
      <c r="Y16" s="133"/>
      <c r="Z16" s="133"/>
      <c r="AA16" s="133"/>
      <c r="AB16" s="133"/>
      <c r="AC16" s="133"/>
      <c r="AD16" s="133"/>
      <c r="AE16" s="133"/>
    </row>
    <row r="17" spans="2:31" ht="15" customHeight="1">
      <c r="B17" s="68"/>
      <c r="C17" s="242"/>
      <c r="D17" s="68"/>
      <c r="E17" s="68"/>
      <c r="F17" s="68"/>
      <c r="G17" s="68"/>
      <c r="H17" s="68"/>
      <c r="I17" s="68"/>
      <c r="J17" s="68"/>
      <c r="K17" s="68"/>
      <c r="L17" s="68"/>
      <c r="M17" s="131"/>
      <c r="N17" s="68"/>
      <c r="O17" s="68"/>
      <c r="P17" s="68"/>
      <c r="Q17" s="68"/>
      <c r="R17" s="68"/>
      <c r="S17" s="68"/>
      <c r="T17" s="68"/>
      <c r="U17" s="68"/>
      <c r="V17" s="68"/>
      <c r="W17" s="68"/>
      <c r="X17" s="245"/>
      <c r="Y17" s="133"/>
      <c r="Z17" s="133"/>
      <c r="AA17" s="133"/>
      <c r="AB17" s="133"/>
      <c r="AC17" s="133"/>
      <c r="AD17" s="133"/>
      <c r="AE17" s="133"/>
    </row>
    <row r="18" spans="2:31" ht="26" customHeight="1">
      <c r="B18" s="68"/>
      <c r="C18" s="242"/>
      <c r="D18" s="373" t="str">
        <f>""&amp;VLOOKUP("sw_results_title",langTable,MATCH(langName,_lang!$A$1:$F$1,0),FALSE())</f>
        <v xml:space="preserve"> &gt;&gt;&gt; WINNERS</v>
      </c>
      <c r="E18" s="352"/>
      <c r="F18" s="352"/>
      <c r="G18" s="352"/>
      <c r="H18" s="352"/>
      <c r="I18" s="165"/>
      <c r="J18" s="165"/>
      <c r="K18" s="165"/>
      <c r="L18" s="165"/>
      <c r="M18" s="167"/>
      <c r="N18" s="165"/>
      <c r="O18" s="165"/>
      <c r="P18" s="165"/>
      <c r="Q18" s="165"/>
      <c r="R18" s="165"/>
      <c r="S18" s="165"/>
      <c r="T18" s="165"/>
      <c r="U18" s="165"/>
      <c r="V18" s="165"/>
      <c r="W18" s="165"/>
      <c r="X18" s="245"/>
      <c r="Y18" s="133"/>
      <c r="Z18" s="133"/>
      <c r="AA18" s="133"/>
      <c r="AB18" s="133"/>
      <c r="AC18" s="133"/>
      <c r="AD18" s="133"/>
      <c r="AE18" s="133"/>
    </row>
    <row r="19" spans="2:31" ht="22" customHeight="1">
      <c r="B19" s="68"/>
      <c r="C19" s="242"/>
      <c r="D19" s="358" t="s">
        <v>132</v>
      </c>
      <c r="E19" s="359"/>
      <c r="F19" s="359"/>
      <c r="G19" s="359"/>
      <c r="H19" s="360"/>
      <c r="I19" s="358" t="str">
        <f>VLOOKUP("sw_team",langTable,MATCH(langName,_lang!$A$1:$F$1,0),FALSE())</f>
        <v>TEAM</v>
      </c>
      <c r="J19" s="359"/>
      <c r="K19" s="359"/>
      <c r="L19" s="359"/>
      <c r="M19" s="360"/>
      <c r="N19" s="358" t="str">
        <f>VLOOKUP("sw_winner_label",langTable,MATCH(langName,_lang!$A$1:$F$1,0),FALSE())</f>
        <v>WINNER</v>
      </c>
      <c r="O19" s="359"/>
      <c r="P19" s="359"/>
      <c r="Q19" s="359"/>
      <c r="R19" s="360"/>
      <c r="S19" s="358" t="str">
        <f>VLOOKUP("sw_prize_label",langTable,MATCH(langName,_lang!$A$1:$F$1,0),FALSE())</f>
        <v>PRIZE</v>
      </c>
      <c r="T19" s="359"/>
      <c r="U19" s="359"/>
      <c r="V19" s="359"/>
      <c r="W19" s="360"/>
      <c r="X19" s="245"/>
      <c r="Y19" s="133"/>
      <c r="Z19" s="133"/>
      <c r="AA19" s="133"/>
      <c r="AB19" s="133"/>
      <c r="AC19" s="133"/>
      <c r="AD19" s="133"/>
      <c r="AE19" s="133"/>
    </row>
    <row r="20" spans="2:31" ht="28" customHeight="1">
      <c r="B20" s="68"/>
      <c r="C20" s="242"/>
      <c r="D20" s="379" t="str">
        <f>VLOOKUP("sw_pos_1",langTable,MATCH(langName,_lang!$A$1:$F$1,0),FALSE())</f>
        <v>1st  ·  WINNERS</v>
      </c>
      <c r="E20" s="368"/>
      <c r="F20" s="368"/>
      <c r="G20" s="368"/>
      <c r="H20" s="372"/>
      <c r="I20" s="367" t="str">
        <f>IF(OR('Predictions &amp; Results'!$Y$115="",LEFT('Predictions &amp; Results'!$Y$115,3)="TBC"),VLOOKUP("sw_tbc_pos",langTable,MATCH(langName,_lang!$A$1:$F$1,0),FALSE),'Predictions &amp; Results'!$Y$115)</f>
        <v>TBC — tournament not finished</v>
      </c>
      <c r="J20" s="368"/>
      <c r="K20" s="368"/>
      <c r="L20" s="368"/>
      <c r="M20" s="368"/>
      <c r="N20" s="371" t="str">
        <f>IF(OR('Predictions &amp; Results'!$Y$115="",LEFT('Predictions &amp; Results'!$Y$115,3)="TBC"),"",IFERROR(IF(VLOOKUP('Predictions &amp; Results'!$Y$115,$E$30:$I$53,5,FALSE)="",VLOOKUP("sw_unassigned",langTable,MATCH(langName,_lang!$A$1:$F$1,0),FALSE),VLOOKUP('Predictions &amp; Results'!$Y$115,$E$30:$I$53,5,FALSE)),IFERROR(IF(VLOOKUP('Predictions &amp; Results'!$Y$115,$O$30:$S$53,5,FALSE)="",VLOOKUP("sw_unassigned",langTable,MATCH(langName,_lang!$A$1:$F$1,0),FALSE),VLOOKUP('Predictions &amp; Results'!$Y$115,$O$30:$S$53,5,FALSE)),VLOOKUP("sw_unassigned",langTable,MATCH(langName,_lang!$A$1:$F$1,0),FALSE))))</f>
        <v/>
      </c>
      <c r="O20" s="368"/>
      <c r="P20" s="368"/>
      <c r="Q20" s="368"/>
      <c r="R20" s="372"/>
      <c r="S20" s="377" t="str">
        <f>IF($I$13="","",$I$13)</f>
        <v/>
      </c>
      <c r="T20" s="368"/>
      <c r="U20" s="368"/>
      <c r="V20" s="368"/>
      <c r="W20" s="372"/>
      <c r="X20" s="245"/>
      <c r="Y20" s="133"/>
      <c r="Z20" s="133"/>
      <c r="AA20" s="133"/>
      <c r="AB20" s="133"/>
      <c r="AC20" s="133"/>
      <c r="AD20" s="133"/>
      <c r="AE20" s="133"/>
    </row>
    <row r="21" spans="2:31" ht="28" customHeight="1">
      <c r="B21" s="68"/>
      <c r="C21" s="242"/>
      <c r="D21" s="376" t="str">
        <f>VLOOKUP("sw_pos_2",langTable,MATCH(langName,_lang!$A$1:$F$1,0),FALSE())</f>
        <v>2nd  ·  RUNNERS-UP</v>
      </c>
      <c r="E21" s="368"/>
      <c r="F21" s="368"/>
      <c r="G21" s="368"/>
      <c r="H21" s="372"/>
      <c r="I21" s="367" t="str">
        <f>IF(OR('Predictions &amp; Results'!$Z$115="",LEFT('Predictions &amp; Results'!$Z$115,3)="TBC"),VLOOKUP("sw_tbc_pos",langTable,MATCH(langName,_lang!$A$1:$F$1,0),FALSE),'Predictions &amp; Results'!$Z$115)</f>
        <v>TBC — tournament not finished</v>
      </c>
      <c r="J21" s="368"/>
      <c r="K21" s="368"/>
      <c r="L21" s="368"/>
      <c r="M21" s="368"/>
      <c r="N21" s="371" t="str">
        <f>IF(OR('Predictions &amp; Results'!$Z$115="",LEFT('Predictions &amp; Results'!$Z$115,3)="TBC"),"",IFERROR(IF(VLOOKUP('Predictions &amp; Results'!$Z$115,$E$30:$I$53,5,FALSE)="",VLOOKUP("sw_unassigned",langTable,MATCH(langName,_lang!$A$1:$F$1,0),FALSE),VLOOKUP('Predictions &amp; Results'!$Z$115,$E$30:$I$53,5,FALSE)),IFERROR(IF(VLOOKUP('Predictions &amp; Results'!$Z$115,$O$30:$S$53,5,FALSE)="",VLOOKUP("sw_unassigned",langTable,MATCH(langName,_lang!$A$1:$F$1,0),FALSE),VLOOKUP('Predictions &amp; Results'!$Z$115,$O$30:$S$53,5,FALSE)),VLOOKUP("sw_unassigned",langTable,MATCH(langName,_lang!$A$1:$F$1,0),FALSE))))</f>
        <v/>
      </c>
      <c r="O21" s="368"/>
      <c r="P21" s="368"/>
      <c r="Q21" s="368"/>
      <c r="R21" s="372"/>
      <c r="S21" s="377" t="str">
        <f>IF($I$14="","",$I$14)</f>
        <v/>
      </c>
      <c r="T21" s="368"/>
      <c r="U21" s="368"/>
      <c r="V21" s="368"/>
      <c r="W21" s="372"/>
      <c r="X21" s="245"/>
      <c r="Y21" s="133"/>
      <c r="Z21" s="133"/>
      <c r="AA21" s="133"/>
      <c r="AB21" s="133"/>
      <c r="AC21" s="133"/>
      <c r="AD21" s="133"/>
      <c r="AE21" s="133"/>
    </row>
    <row r="22" spans="2:31" ht="28" customHeight="1">
      <c r="B22" s="68"/>
      <c r="C22" s="242"/>
      <c r="D22" s="380" t="str">
        <f>VLOOKUP("sw_pos_3",langTable,MATCH(langName,_lang!$A$1:$F$1,0),FALSE())</f>
        <v>3rd  ·  3RD-PLACE PLAY-OFF WINNERS</v>
      </c>
      <c r="E22" s="362"/>
      <c r="F22" s="362"/>
      <c r="G22" s="362"/>
      <c r="H22" s="363"/>
      <c r="I22" s="366" t="str">
        <f>IF(OR('Predictions &amp; Results'!$Y$114="",LEFT('Predictions &amp; Results'!$Y$114,3)="TBC"),VLOOKUP("sw_tbc_pos",langTable,MATCH(langName,_lang!$A$1:$F$1,0),FALSE),'Predictions &amp; Results'!$Y$114)</f>
        <v>TBC — tournament not finished</v>
      </c>
      <c r="J22" s="362"/>
      <c r="K22" s="362"/>
      <c r="L22" s="362"/>
      <c r="M22" s="362"/>
      <c r="N22" s="375" t="str">
        <f>IF(OR('Predictions &amp; Results'!$Y$114="",LEFT('Predictions &amp; Results'!$Y$114,3)="TBC"),"",IFERROR(IF(VLOOKUP('Predictions &amp; Results'!$Y$114,$E$30:$I$53,5,FALSE)="",VLOOKUP("sw_unassigned",langTable,MATCH(langName,_lang!$A$1:$F$1,0),FALSE),VLOOKUP('Predictions &amp; Results'!$Y$114,$E$30:$I$53,5,FALSE)),IFERROR(IF(VLOOKUP('Predictions &amp; Results'!$Y$114,$O$30:$S$53,5,FALSE)="",VLOOKUP("sw_unassigned",langTable,MATCH(langName,_lang!$A$1:$F$1,0),FALSE),VLOOKUP('Predictions &amp; Results'!$Y$114,$O$30:$S$53,5,FALSE)),VLOOKUP("sw_unassigned",langTable,MATCH(langName,_lang!$A$1:$F$1,0),FALSE))))</f>
        <v/>
      </c>
      <c r="O22" s="362"/>
      <c r="P22" s="362"/>
      <c r="Q22" s="362"/>
      <c r="R22" s="363"/>
      <c r="S22" s="378" t="str">
        <f>IF($I$15="","",$I$15)</f>
        <v/>
      </c>
      <c r="T22" s="362"/>
      <c r="U22" s="362"/>
      <c r="V22" s="362"/>
      <c r="W22" s="363"/>
      <c r="X22" s="245"/>
      <c r="Y22" s="133"/>
      <c r="Z22" s="133"/>
      <c r="AA22" s="133"/>
      <c r="AB22" s="133"/>
      <c r="AC22" s="133"/>
      <c r="AD22" s="133"/>
      <c r="AE22" s="133"/>
    </row>
    <row r="23" spans="2:31" ht="15" customHeight="1">
      <c r="B23" s="68"/>
      <c r="C23" s="242"/>
      <c r="D23" s="131"/>
      <c r="E23" s="131"/>
      <c r="F23" s="131"/>
      <c r="G23" s="131"/>
      <c r="H23" s="131"/>
      <c r="I23" s="131"/>
      <c r="J23" s="131"/>
      <c r="K23" s="131"/>
      <c r="L23" s="131"/>
      <c r="M23" s="131"/>
      <c r="N23" s="131"/>
      <c r="O23" s="131"/>
      <c r="P23" s="131"/>
      <c r="Q23" s="131"/>
      <c r="R23" s="131"/>
      <c r="S23" s="131"/>
      <c r="T23" s="131"/>
      <c r="U23" s="131"/>
      <c r="V23" s="131"/>
      <c r="W23" s="131"/>
      <c r="X23" s="245"/>
      <c r="Y23" s="133"/>
      <c r="Z23" s="133"/>
      <c r="AA23" s="133"/>
      <c r="AB23" s="133"/>
      <c r="AC23" s="133"/>
      <c r="AD23" s="133"/>
      <c r="AE23" s="133"/>
    </row>
    <row r="24" spans="2:31" ht="10" customHeight="1">
      <c r="B24" s="68"/>
      <c r="C24" s="242"/>
      <c r="D24" s="68"/>
      <c r="E24" s="68"/>
      <c r="F24" s="68"/>
      <c r="G24" s="68"/>
      <c r="H24" s="68"/>
      <c r="I24" s="68"/>
      <c r="J24" s="68"/>
      <c r="K24" s="68"/>
      <c r="L24" s="68"/>
      <c r="M24" s="131"/>
      <c r="N24" s="68"/>
      <c r="O24" s="68"/>
      <c r="P24" s="68"/>
      <c r="Q24" s="68"/>
      <c r="R24" s="68"/>
      <c r="S24" s="68"/>
      <c r="T24" s="68"/>
      <c r="U24" s="68"/>
      <c r="V24" s="68"/>
      <c r="W24" s="68"/>
      <c r="X24" s="245"/>
      <c r="Y24" s="133"/>
      <c r="Z24" s="133"/>
      <c r="AA24" s="133"/>
      <c r="AB24" s="133"/>
      <c r="AC24" s="133"/>
      <c r="AD24" s="133"/>
      <c r="AE24" s="133"/>
    </row>
    <row r="25" spans="2:31" ht="15" customHeight="1">
      <c r="B25" s="68"/>
      <c r="C25" s="242"/>
      <c r="D25" s="68"/>
      <c r="E25" s="68"/>
      <c r="F25" s="68"/>
      <c r="G25" s="68"/>
      <c r="H25" s="68"/>
      <c r="I25" s="68"/>
      <c r="J25" s="68"/>
      <c r="K25" s="68"/>
      <c r="L25" s="68"/>
      <c r="M25" s="131"/>
      <c r="N25" s="68"/>
      <c r="O25" s="68"/>
      <c r="P25" s="68"/>
      <c r="Q25" s="166"/>
      <c r="R25" s="68"/>
      <c r="S25" s="68"/>
      <c r="T25" s="68"/>
      <c r="U25" s="68"/>
      <c r="V25" s="68"/>
      <c r="W25" s="68"/>
      <c r="X25" s="245"/>
      <c r="Y25" s="133"/>
      <c r="Z25" s="133"/>
      <c r="AA25" s="133"/>
      <c r="AB25" s="133"/>
      <c r="AC25" s="133"/>
      <c r="AD25" s="133"/>
      <c r="AE25" s="133"/>
    </row>
    <row r="26" spans="2:31" ht="26" customHeight="1">
      <c r="B26" s="68"/>
      <c r="C26" s="242"/>
      <c r="D26" s="373" t="str">
        <f>""&amp;VLOOKUP("sw_teams_title",langTable,MATCH(langName,_lang!$A$1:$F$1,0),FALSE())</f>
        <v xml:space="preserve"> &gt;&gt;&gt; ASSIGN PLAYERS TO TEAMS</v>
      </c>
      <c r="E26" s="352"/>
      <c r="F26" s="352"/>
      <c r="G26" s="352"/>
      <c r="H26" s="352"/>
      <c r="I26" s="352"/>
      <c r="J26" s="352"/>
      <c r="K26" s="352"/>
      <c r="L26" s="352"/>
      <c r="M26" s="374"/>
      <c r="N26" s="352"/>
      <c r="O26" s="352"/>
      <c r="P26" s="352"/>
      <c r="Q26" s="352"/>
      <c r="R26" s="352"/>
      <c r="S26" s="352"/>
      <c r="T26" s="352"/>
      <c r="U26" s="352"/>
      <c r="V26" s="352"/>
      <c r="W26" s="352"/>
      <c r="X26" s="245"/>
      <c r="Y26" s="133"/>
      <c r="Z26" s="133"/>
      <c r="AA26" s="133"/>
      <c r="AB26" s="133"/>
      <c r="AC26" s="133"/>
      <c r="AD26" s="133"/>
      <c r="AE26" s="133"/>
    </row>
    <row r="27" spans="2:31" ht="18" customHeight="1">
      <c r="B27" s="68"/>
      <c r="C27" s="242"/>
      <c r="D27" s="383" t="str">
        <f>VLOOKUP("sw_intro",langTable,MATCH(langName,_lang!$A$1:$F$1,0),FALSE())</f>
        <v>Type a player's name next to each team. Same name on multiple teams is fine. Set your own prizes for the three winners. Results lock in at the final whistle.</v>
      </c>
      <c r="E27" s="352"/>
      <c r="F27" s="352"/>
      <c r="G27" s="352"/>
      <c r="H27" s="352"/>
      <c r="I27" s="352"/>
      <c r="J27" s="352"/>
      <c r="K27" s="352"/>
      <c r="L27" s="352"/>
      <c r="M27" s="374"/>
      <c r="N27" s="352"/>
      <c r="O27" s="352"/>
      <c r="P27" s="352"/>
      <c r="Q27" s="352"/>
      <c r="R27" s="352"/>
      <c r="S27" s="352"/>
      <c r="T27" s="352"/>
      <c r="U27" s="352"/>
      <c r="V27" s="352"/>
      <c r="W27" s="352"/>
      <c r="X27" s="245"/>
      <c r="Y27" s="133"/>
      <c r="Z27" s="133"/>
      <c r="AA27" s="133"/>
      <c r="AB27" s="133"/>
      <c r="AC27" s="133"/>
      <c r="AD27" s="133"/>
      <c r="AE27" s="133"/>
    </row>
    <row r="28" spans="2:31" ht="18" customHeight="1">
      <c r="B28" s="68"/>
      <c r="C28" s="242"/>
      <c r="D28" s="132"/>
      <c r="E28" s="132"/>
      <c r="F28" s="132"/>
      <c r="G28" s="132"/>
      <c r="H28" s="132"/>
      <c r="I28" s="132"/>
      <c r="J28" s="132"/>
      <c r="K28" s="132"/>
      <c r="L28" s="132"/>
      <c r="M28" s="132"/>
      <c r="N28" s="132"/>
      <c r="O28" s="132"/>
      <c r="P28" s="132"/>
      <c r="Q28" s="132"/>
      <c r="R28" s="132"/>
      <c r="S28" s="132"/>
      <c r="T28" s="132"/>
      <c r="U28" s="132"/>
      <c r="V28" s="132"/>
      <c r="W28" s="132"/>
      <c r="X28" s="245"/>
      <c r="Y28" s="135"/>
      <c r="Z28" s="135"/>
      <c r="AA28" s="135"/>
      <c r="AB28" s="135"/>
      <c r="AC28" s="135"/>
      <c r="AD28" s="135"/>
      <c r="AE28" s="135"/>
    </row>
    <row r="29" spans="2:31" ht="22" customHeight="1">
      <c r="B29" s="68"/>
      <c r="C29" s="242"/>
      <c r="D29" s="169" t="s">
        <v>133</v>
      </c>
      <c r="E29" s="351" t="str">
        <f>VLOOKUP("sw_team",langTable,MATCH(langName,_lang!$A$1:$F$1,0),FALSE())</f>
        <v>TEAM</v>
      </c>
      <c r="F29" s="352"/>
      <c r="G29" s="352"/>
      <c r="H29" s="169" t="str">
        <f>VLOOKUP("sw_group_label",langTable,MATCH(langName,_lang!$A$1:$F$1,0),FALSE())</f>
        <v>GRP</v>
      </c>
      <c r="I29" s="351" t="str">
        <f>VLOOKUP("sw_player_label",langTable,MATCH(langName,_lang!$A$1:$F$1,0),FALSE())</f>
        <v>PLAYER</v>
      </c>
      <c r="J29" s="352"/>
      <c r="K29" s="352"/>
      <c r="L29" s="352"/>
      <c r="M29" s="170"/>
      <c r="N29" s="169" t="s">
        <v>133</v>
      </c>
      <c r="O29" s="351" t="str">
        <f>VLOOKUP("sw_team",langTable,MATCH(langName,_lang!$A$1:$F$1,0),FALSE())</f>
        <v>TEAM</v>
      </c>
      <c r="P29" s="352"/>
      <c r="Q29" s="352"/>
      <c r="R29" s="169" t="str">
        <f>VLOOKUP("sw_group_label",langTable,MATCH(langName,_lang!$A$1:$F$1,0),FALSE())</f>
        <v>GRP</v>
      </c>
      <c r="S29" s="351" t="str">
        <f>VLOOKUP("sw_player_label",langTable,MATCH(langName,_lang!$A$1:$F$1,0),FALSE())</f>
        <v>PLAYER</v>
      </c>
      <c r="T29" s="352"/>
      <c r="U29" s="352"/>
      <c r="V29" s="352"/>
      <c r="W29" s="352"/>
      <c r="X29" s="245"/>
      <c r="Y29" s="133"/>
      <c r="Z29" s="133"/>
      <c r="AA29" s="133"/>
      <c r="AB29" s="133"/>
      <c r="AC29" s="133"/>
      <c r="AD29" s="133"/>
      <c r="AE29" s="133"/>
    </row>
    <row r="30" spans="2:31" ht="22" customHeight="1">
      <c r="B30" s="68"/>
      <c r="C30" s="242"/>
      <c r="D30" s="171">
        <v>1</v>
      </c>
      <c r="E30" s="361" t="s">
        <v>12</v>
      </c>
      <c r="F30" s="362"/>
      <c r="G30" s="363"/>
      <c r="H30" s="172" t="s">
        <v>92</v>
      </c>
      <c r="I30" s="353"/>
      <c r="J30" s="354"/>
      <c r="K30" s="354"/>
      <c r="L30" s="354"/>
      <c r="M30" s="355"/>
      <c r="N30" s="171">
        <v>25</v>
      </c>
      <c r="O30" s="361" t="s">
        <v>54</v>
      </c>
      <c r="P30" s="362"/>
      <c r="Q30" s="363"/>
      <c r="R30" s="172" t="s">
        <v>98</v>
      </c>
      <c r="S30" s="356"/>
      <c r="T30" s="354"/>
      <c r="U30" s="354"/>
      <c r="V30" s="354"/>
      <c r="W30" s="355"/>
      <c r="X30" s="245"/>
      <c r="Y30" s="133"/>
      <c r="Z30" s="133"/>
      <c r="AA30" s="133"/>
      <c r="AB30" s="133"/>
      <c r="AC30" s="133"/>
      <c r="AD30" s="133"/>
      <c r="AE30" s="133"/>
    </row>
    <row r="31" spans="2:31" ht="22" customHeight="1">
      <c r="B31" s="68"/>
      <c r="C31" s="242"/>
      <c r="D31" s="171">
        <v>2</v>
      </c>
      <c r="E31" s="361" t="s">
        <v>11</v>
      </c>
      <c r="F31" s="362"/>
      <c r="G31" s="363"/>
      <c r="H31" s="172" t="s">
        <v>92</v>
      </c>
      <c r="I31" s="353"/>
      <c r="J31" s="354"/>
      <c r="K31" s="354"/>
      <c r="L31" s="354"/>
      <c r="M31" s="355"/>
      <c r="N31" s="171">
        <v>26</v>
      </c>
      <c r="O31" s="361" t="s">
        <v>55</v>
      </c>
      <c r="P31" s="362"/>
      <c r="Q31" s="363"/>
      <c r="R31" s="172" t="s">
        <v>98</v>
      </c>
      <c r="S31" s="356"/>
      <c r="T31" s="354"/>
      <c r="U31" s="354"/>
      <c r="V31" s="354"/>
      <c r="W31" s="355"/>
      <c r="X31" s="245"/>
      <c r="Y31" s="133"/>
      <c r="Z31" s="133"/>
      <c r="AA31" s="133"/>
      <c r="AB31" s="133"/>
      <c r="AC31" s="133"/>
      <c r="AD31" s="133"/>
      <c r="AE31" s="133"/>
    </row>
    <row r="32" spans="2:31" ht="22" customHeight="1">
      <c r="B32" s="68"/>
      <c r="C32" s="242"/>
      <c r="D32" s="171">
        <v>3</v>
      </c>
      <c r="E32" s="361" t="s">
        <v>8</v>
      </c>
      <c r="F32" s="362"/>
      <c r="G32" s="363"/>
      <c r="H32" s="172" t="s">
        <v>92</v>
      </c>
      <c r="I32" s="353"/>
      <c r="J32" s="354"/>
      <c r="K32" s="354"/>
      <c r="L32" s="354"/>
      <c r="M32" s="355"/>
      <c r="N32" s="171">
        <v>27</v>
      </c>
      <c r="O32" s="361" t="s">
        <v>60</v>
      </c>
      <c r="P32" s="362"/>
      <c r="Q32" s="363"/>
      <c r="R32" s="172" t="s">
        <v>98</v>
      </c>
      <c r="S32" s="356"/>
      <c r="T32" s="354"/>
      <c r="U32" s="354"/>
      <c r="V32" s="354"/>
      <c r="W32" s="355"/>
      <c r="X32" s="245"/>
      <c r="Y32" s="133"/>
      <c r="Z32" s="133"/>
      <c r="AA32" s="133"/>
      <c r="AB32" s="133"/>
      <c r="AC32" s="133"/>
      <c r="AD32" s="133"/>
      <c r="AE32" s="133"/>
    </row>
    <row r="33" spans="2:31" ht="22" customHeight="1">
      <c r="B33" s="68"/>
      <c r="C33" s="242"/>
      <c r="D33" s="171">
        <v>4</v>
      </c>
      <c r="E33" s="361" t="s">
        <v>9</v>
      </c>
      <c r="F33" s="362"/>
      <c r="G33" s="363"/>
      <c r="H33" s="172" t="s">
        <v>92</v>
      </c>
      <c r="I33" s="353"/>
      <c r="J33" s="354"/>
      <c r="K33" s="354"/>
      <c r="L33" s="354"/>
      <c r="M33" s="355"/>
      <c r="N33" s="171">
        <v>28</v>
      </c>
      <c r="O33" s="361" t="s">
        <v>61</v>
      </c>
      <c r="P33" s="362"/>
      <c r="Q33" s="363"/>
      <c r="R33" s="172" t="s">
        <v>98</v>
      </c>
      <c r="S33" s="356"/>
      <c r="T33" s="354"/>
      <c r="U33" s="354"/>
      <c r="V33" s="354"/>
      <c r="W33" s="355"/>
      <c r="X33" s="245"/>
      <c r="Y33" s="133"/>
      <c r="Z33" s="133"/>
      <c r="AA33" s="133"/>
      <c r="AB33" s="133"/>
      <c r="AC33" s="133"/>
      <c r="AD33" s="133"/>
      <c r="AE33" s="133"/>
    </row>
    <row r="34" spans="2:31" ht="22" customHeight="1">
      <c r="B34" s="68"/>
      <c r="C34" s="242"/>
      <c r="D34" s="171">
        <v>5</v>
      </c>
      <c r="E34" s="361" t="s">
        <v>16</v>
      </c>
      <c r="F34" s="362"/>
      <c r="G34" s="363"/>
      <c r="H34" s="172" t="s">
        <v>93</v>
      </c>
      <c r="I34" s="357"/>
      <c r="J34" s="354"/>
      <c r="K34" s="354"/>
      <c r="L34" s="354"/>
      <c r="M34" s="355"/>
      <c r="N34" s="171">
        <v>29</v>
      </c>
      <c r="O34" s="361" t="s">
        <v>51</v>
      </c>
      <c r="P34" s="362"/>
      <c r="Q34" s="363"/>
      <c r="R34" s="172" t="s">
        <v>99</v>
      </c>
      <c r="S34" s="356"/>
      <c r="T34" s="354"/>
      <c r="U34" s="354"/>
      <c r="V34" s="354"/>
      <c r="W34" s="355"/>
      <c r="X34" s="245"/>
      <c r="Y34" s="133"/>
      <c r="Z34" s="133"/>
      <c r="AA34" s="133"/>
      <c r="AB34" s="133"/>
      <c r="AC34" s="133"/>
      <c r="AD34" s="133"/>
      <c r="AE34" s="133"/>
    </row>
    <row r="35" spans="2:31" ht="22" customHeight="1">
      <c r="B35" s="68"/>
      <c r="C35" s="242"/>
      <c r="D35" s="171">
        <v>6</v>
      </c>
      <c r="E35" s="361" t="s">
        <v>15</v>
      </c>
      <c r="F35" s="362"/>
      <c r="G35" s="363"/>
      <c r="H35" s="172" t="s">
        <v>93</v>
      </c>
      <c r="I35" s="353"/>
      <c r="J35" s="354"/>
      <c r="K35" s="354"/>
      <c r="L35" s="354"/>
      <c r="M35" s="355"/>
      <c r="N35" s="171">
        <v>30</v>
      </c>
      <c r="O35" s="361" t="s">
        <v>50</v>
      </c>
      <c r="P35" s="362"/>
      <c r="Q35" s="363"/>
      <c r="R35" s="172" t="s">
        <v>99</v>
      </c>
      <c r="S35" s="356"/>
      <c r="T35" s="354"/>
      <c r="U35" s="354"/>
      <c r="V35" s="354"/>
      <c r="W35" s="355"/>
      <c r="X35" s="245"/>
      <c r="Y35" s="133"/>
      <c r="Z35" s="133"/>
      <c r="AA35" s="133"/>
      <c r="AB35" s="133"/>
      <c r="AC35" s="133"/>
      <c r="AD35" s="133"/>
      <c r="AE35" s="133"/>
    </row>
    <row r="36" spans="2:31" ht="22" customHeight="1">
      <c r="B36" s="68"/>
      <c r="C36" s="242"/>
      <c r="D36" s="171">
        <v>7</v>
      </c>
      <c r="E36" s="361" t="s">
        <v>23</v>
      </c>
      <c r="F36" s="362"/>
      <c r="G36" s="363"/>
      <c r="H36" s="172" t="s">
        <v>93</v>
      </c>
      <c r="I36" s="353"/>
      <c r="J36" s="354"/>
      <c r="K36" s="354"/>
      <c r="L36" s="354"/>
      <c r="M36" s="355"/>
      <c r="N36" s="171">
        <v>31</v>
      </c>
      <c r="O36" s="361" t="s">
        <v>57</v>
      </c>
      <c r="P36" s="362"/>
      <c r="Q36" s="363"/>
      <c r="R36" s="172" t="s">
        <v>99</v>
      </c>
      <c r="S36" s="356"/>
      <c r="T36" s="354"/>
      <c r="U36" s="354"/>
      <c r="V36" s="354"/>
      <c r="W36" s="355"/>
      <c r="X36" s="245"/>
      <c r="Y36" s="133"/>
      <c r="Z36" s="133"/>
      <c r="AA36" s="133"/>
      <c r="AB36" s="133"/>
      <c r="AC36" s="133"/>
      <c r="AD36" s="133"/>
      <c r="AE36" s="133"/>
    </row>
    <row r="37" spans="2:31" ht="22" customHeight="1">
      <c r="B37" s="68"/>
      <c r="C37" s="242"/>
      <c r="D37" s="171">
        <v>8</v>
      </c>
      <c r="E37" s="361" t="s">
        <v>22</v>
      </c>
      <c r="F37" s="362"/>
      <c r="G37" s="363"/>
      <c r="H37" s="172" t="s">
        <v>93</v>
      </c>
      <c r="I37" s="353"/>
      <c r="J37" s="354"/>
      <c r="K37" s="354"/>
      <c r="L37" s="354"/>
      <c r="M37" s="355"/>
      <c r="N37" s="171">
        <v>32</v>
      </c>
      <c r="O37" s="361" t="s">
        <v>58</v>
      </c>
      <c r="P37" s="362"/>
      <c r="Q37" s="363"/>
      <c r="R37" s="172" t="s">
        <v>99</v>
      </c>
      <c r="S37" s="356"/>
      <c r="T37" s="354"/>
      <c r="U37" s="354"/>
      <c r="V37" s="354"/>
      <c r="W37" s="355"/>
      <c r="X37" s="245"/>
      <c r="Y37" s="133"/>
      <c r="Z37" s="133"/>
      <c r="AA37" s="133"/>
      <c r="AB37" s="133"/>
      <c r="AC37" s="133"/>
      <c r="AD37" s="133"/>
      <c r="AE37" s="133"/>
    </row>
    <row r="38" spans="2:31" ht="22" customHeight="1">
      <c r="B38" s="68"/>
      <c r="C38" s="242"/>
      <c r="D38" s="171">
        <v>9</v>
      </c>
      <c r="E38" s="361" t="s">
        <v>26</v>
      </c>
      <c r="F38" s="362"/>
      <c r="G38" s="363"/>
      <c r="H38" s="172" t="s">
        <v>94</v>
      </c>
      <c r="I38" s="357"/>
      <c r="J38" s="354"/>
      <c r="K38" s="354"/>
      <c r="L38" s="354"/>
      <c r="M38" s="355"/>
      <c r="N38" s="171">
        <v>33</v>
      </c>
      <c r="O38" s="361" t="s">
        <v>63</v>
      </c>
      <c r="P38" s="362"/>
      <c r="Q38" s="363"/>
      <c r="R38" s="172" t="s">
        <v>100</v>
      </c>
      <c r="S38" s="356"/>
      <c r="T38" s="354"/>
      <c r="U38" s="354"/>
      <c r="V38" s="354"/>
      <c r="W38" s="355"/>
      <c r="X38" s="245"/>
      <c r="Y38" s="133"/>
      <c r="Z38" s="133"/>
      <c r="AA38" s="133"/>
      <c r="AB38" s="133"/>
      <c r="AC38" s="133"/>
      <c r="AD38" s="133"/>
      <c r="AE38" s="133"/>
    </row>
    <row r="39" spans="2:31" ht="22" customHeight="1">
      <c r="B39" s="68"/>
      <c r="C39" s="242"/>
      <c r="D39" s="171">
        <v>10</v>
      </c>
      <c r="E39" s="361" t="s">
        <v>29</v>
      </c>
      <c r="F39" s="362"/>
      <c r="G39" s="363"/>
      <c r="H39" s="172" t="s">
        <v>94</v>
      </c>
      <c r="I39" s="353"/>
      <c r="J39" s="354"/>
      <c r="K39" s="354"/>
      <c r="L39" s="354"/>
      <c r="M39" s="355"/>
      <c r="N39" s="171">
        <v>34</v>
      </c>
      <c r="O39" s="361" t="s">
        <v>65</v>
      </c>
      <c r="P39" s="362"/>
      <c r="Q39" s="363"/>
      <c r="R39" s="172" t="s">
        <v>100</v>
      </c>
      <c r="S39" s="356"/>
      <c r="T39" s="354"/>
      <c r="U39" s="354"/>
      <c r="V39" s="354"/>
      <c r="W39" s="355"/>
      <c r="X39" s="245"/>
      <c r="Y39" s="133"/>
      <c r="Z39" s="133"/>
      <c r="AA39" s="133"/>
      <c r="AB39" s="133"/>
      <c r="AC39" s="133"/>
      <c r="AD39" s="133"/>
      <c r="AE39" s="133"/>
    </row>
    <row r="40" spans="2:31" ht="22" customHeight="1">
      <c r="B40" s="68"/>
      <c r="C40" s="242"/>
      <c r="D40" s="171">
        <v>11</v>
      </c>
      <c r="E40" s="361" t="s">
        <v>27</v>
      </c>
      <c r="F40" s="362"/>
      <c r="G40" s="363"/>
      <c r="H40" s="172" t="s">
        <v>94</v>
      </c>
      <c r="I40" s="353"/>
      <c r="J40" s="354"/>
      <c r="K40" s="354"/>
      <c r="L40" s="354"/>
      <c r="M40" s="355"/>
      <c r="N40" s="171">
        <v>35</v>
      </c>
      <c r="O40" s="361" t="s">
        <v>66</v>
      </c>
      <c r="P40" s="362"/>
      <c r="Q40" s="363"/>
      <c r="R40" s="172" t="s">
        <v>100</v>
      </c>
      <c r="S40" s="356"/>
      <c r="T40" s="354"/>
      <c r="U40" s="354"/>
      <c r="V40" s="354"/>
      <c r="W40" s="355"/>
      <c r="X40" s="245"/>
      <c r="Y40" s="133"/>
      <c r="Z40" s="133"/>
      <c r="AA40" s="133"/>
      <c r="AB40" s="133"/>
      <c r="AC40" s="133"/>
      <c r="AD40" s="133"/>
      <c r="AE40" s="133"/>
    </row>
    <row r="41" spans="2:31" ht="22" customHeight="1">
      <c r="B41" s="68"/>
      <c r="C41" s="242"/>
      <c r="D41" s="171">
        <v>12</v>
      </c>
      <c r="E41" s="361" t="s">
        <v>30</v>
      </c>
      <c r="F41" s="362"/>
      <c r="G41" s="363"/>
      <c r="H41" s="172" t="s">
        <v>94</v>
      </c>
      <c r="I41" s="353"/>
      <c r="J41" s="354"/>
      <c r="K41" s="354"/>
      <c r="L41" s="354"/>
      <c r="M41" s="355"/>
      <c r="N41" s="171">
        <v>36</v>
      </c>
      <c r="O41" s="361" t="s">
        <v>64</v>
      </c>
      <c r="P41" s="362"/>
      <c r="Q41" s="363"/>
      <c r="R41" s="172" t="s">
        <v>100</v>
      </c>
      <c r="S41" s="356"/>
      <c r="T41" s="354"/>
      <c r="U41" s="354"/>
      <c r="V41" s="354"/>
      <c r="W41" s="355"/>
      <c r="X41" s="245"/>
      <c r="Y41" s="133"/>
      <c r="Z41" s="133"/>
      <c r="AA41" s="133"/>
      <c r="AB41" s="133"/>
      <c r="AC41" s="133"/>
      <c r="AD41" s="133"/>
      <c r="AE41" s="133"/>
    </row>
    <row r="42" spans="2:31" ht="22" customHeight="1">
      <c r="B42" s="68"/>
      <c r="C42" s="242"/>
      <c r="D42" s="171">
        <v>13</v>
      </c>
      <c r="E42" s="361" t="s">
        <v>32</v>
      </c>
      <c r="F42" s="362"/>
      <c r="G42" s="363"/>
      <c r="H42" s="172" t="s">
        <v>95</v>
      </c>
      <c r="I42" s="357"/>
      <c r="J42" s="354"/>
      <c r="K42" s="354"/>
      <c r="L42" s="354"/>
      <c r="M42" s="355"/>
      <c r="N42" s="171">
        <v>37</v>
      </c>
      <c r="O42" s="361" t="s">
        <v>68</v>
      </c>
      <c r="P42" s="362"/>
      <c r="Q42" s="363"/>
      <c r="R42" s="172" t="s">
        <v>101</v>
      </c>
      <c r="S42" s="356"/>
      <c r="T42" s="354"/>
      <c r="U42" s="354"/>
      <c r="V42" s="354"/>
      <c r="W42" s="355"/>
      <c r="X42" s="245"/>
      <c r="Y42" s="133"/>
      <c r="Z42" s="133"/>
      <c r="AA42" s="133"/>
      <c r="AB42" s="133"/>
      <c r="AC42" s="133"/>
      <c r="AD42" s="133"/>
      <c r="AE42" s="133"/>
    </row>
    <row r="43" spans="2:31" ht="22" customHeight="1">
      <c r="B43" s="68"/>
      <c r="C43" s="242"/>
      <c r="D43" s="171">
        <v>14</v>
      </c>
      <c r="E43" s="361" t="s">
        <v>20</v>
      </c>
      <c r="F43" s="362"/>
      <c r="G43" s="363"/>
      <c r="H43" s="172" t="s">
        <v>95</v>
      </c>
      <c r="I43" s="353"/>
      <c r="J43" s="354"/>
      <c r="K43" s="354"/>
      <c r="L43" s="354"/>
      <c r="M43" s="355"/>
      <c r="N43" s="171">
        <v>38</v>
      </c>
      <c r="O43" s="361" t="s">
        <v>71</v>
      </c>
      <c r="P43" s="362"/>
      <c r="Q43" s="363"/>
      <c r="R43" s="172" t="s">
        <v>101</v>
      </c>
      <c r="S43" s="356"/>
      <c r="T43" s="354"/>
      <c r="U43" s="354"/>
      <c r="V43" s="354"/>
      <c r="W43" s="355"/>
      <c r="X43" s="245"/>
      <c r="Y43" s="133"/>
      <c r="Z43" s="133"/>
      <c r="AA43" s="133"/>
      <c r="AB43" s="133"/>
      <c r="AC43" s="133"/>
      <c r="AD43" s="133"/>
      <c r="AE43" s="133"/>
    </row>
    <row r="44" spans="2:31" ht="22" customHeight="1">
      <c r="B44" s="68"/>
      <c r="C44" s="242"/>
      <c r="D44" s="171">
        <v>15</v>
      </c>
      <c r="E44" s="361" t="s">
        <v>33</v>
      </c>
      <c r="F44" s="362"/>
      <c r="G44" s="363"/>
      <c r="H44" s="172" t="s">
        <v>95</v>
      </c>
      <c r="I44" s="353"/>
      <c r="J44" s="354"/>
      <c r="K44" s="354"/>
      <c r="L44" s="354"/>
      <c r="M44" s="355"/>
      <c r="N44" s="171">
        <v>39</v>
      </c>
      <c r="O44" s="361" t="s">
        <v>69</v>
      </c>
      <c r="P44" s="362"/>
      <c r="Q44" s="363"/>
      <c r="R44" s="172" t="s">
        <v>101</v>
      </c>
      <c r="S44" s="356"/>
      <c r="T44" s="354"/>
      <c r="U44" s="354"/>
      <c r="V44" s="354"/>
      <c r="W44" s="355"/>
      <c r="X44" s="245"/>
      <c r="Y44" s="133"/>
      <c r="Z44" s="133"/>
      <c r="AA44" s="133"/>
      <c r="AB44" s="133"/>
      <c r="AC44" s="133"/>
      <c r="AD44" s="133"/>
      <c r="AE44" s="133"/>
    </row>
    <row r="45" spans="2:31" ht="22" customHeight="1">
      <c r="B45" s="68"/>
      <c r="C45" s="242"/>
      <c r="D45" s="171">
        <v>16</v>
      </c>
      <c r="E45" s="361" t="s">
        <v>19</v>
      </c>
      <c r="F45" s="362"/>
      <c r="G45" s="363"/>
      <c r="H45" s="172" t="s">
        <v>95</v>
      </c>
      <c r="I45" s="353"/>
      <c r="J45" s="354"/>
      <c r="K45" s="354"/>
      <c r="L45" s="354"/>
      <c r="M45" s="355"/>
      <c r="N45" s="171">
        <v>40</v>
      </c>
      <c r="O45" s="361" t="s">
        <v>72</v>
      </c>
      <c r="P45" s="362"/>
      <c r="Q45" s="363"/>
      <c r="R45" s="172" t="s">
        <v>101</v>
      </c>
      <c r="S45" s="356"/>
      <c r="T45" s="354"/>
      <c r="U45" s="354"/>
      <c r="V45" s="354"/>
      <c r="W45" s="355"/>
      <c r="X45" s="245"/>
      <c r="Y45" s="133"/>
      <c r="Z45" s="133"/>
      <c r="AA45" s="133"/>
      <c r="AB45" s="133"/>
      <c r="AC45" s="133"/>
      <c r="AD45" s="133"/>
      <c r="AE45" s="133"/>
    </row>
    <row r="46" spans="2:31" ht="22" customHeight="1">
      <c r="B46" s="68"/>
      <c r="C46" s="242"/>
      <c r="D46" s="171">
        <v>17</v>
      </c>
      <c r="E46" s="361" t="s">
        <v>43</v>
      </c>
      <c r="F46" s="362"/>
      <c r="G46" s="363"/>
      <c r="H46" s="172" t="s">
        <v>96</v>
      </c>
      <c r="I46" s="357"/>
      <c r="J46" s="354"/>
      <c r="K46" s="354"/>
      <c r="L46" s="354"/>
      <c r="M46" s="355"/>
      <c r="N46" s="171">
        <v>41</v>
      </c>
      <c r="O46" s="361" t="s">
        <v>75</v>
      </c>
      <c r="P46" s="362"/>
      <c r="Q46" s="363"/>
      <c r="R46" s="172" t="s">
        <v>102</v>
      </c>
      <c r="S46" s="356"/>
      <c r="T46" s="354"/>
      <c r="U46" s="354"/>
      <c r="V46" s="354"/>
      <c r="W46" s="355"/>
      <c r="X46" s="245"/>
      <c r="Y46" s="133"/>
      <c r="Z46" s="133"/>
      <c r="AA46" s="133"/>
      <c r="AB46" s="133"/>
      <c r="AC46" s="133"/>
      <c r="AD46" s="133"/>
      <c r="AE46" s="133"/>
    </row>
    <row r="47" spans="2:31" ht="22" customHeight="1">
      <c r="B47" s="68"/>
      <c r="C47" s="242"/>
      <c r="D47" s="171">
        <v>18</v>
      </c>
      <c r="E47" s="361" t="s">
        <v>37</v>
      </c>
      <c r="F47" s="362"/>
      <c r="G47" s="363"/>
      <c r="H47" s="172" t="s">
        <v>96</v>
      </c>
      <c r="I47" s="353"/>
      <c r="J47" s="354"/>
      <c r="K47" s="354"/>
      <c r="L47" s="354"/>
      <c r="M47" s="355"/>
      <c r="N47" s="171">
        <v>42</v>
      </c>
      <c r="O47" s="361" t="s">
        <v>82</v>
      </c>
      <c r="P47" s="362"/>
      <c r="Q47" s="363"/>
      <c r="R47" s="172" t="s">
        <v>102</v>
      </c>
      <c r="S47" s="356"/>
      <c r="T47" s="354"/>
      <c r="U47" s="354"/>
      <c r="V47" s="354"/>
      <c r="W47" s="355"/>
      <c r="X47" s="245"/>
      <c r="Y47" s="133"/>
      <c r="Z47" s="133"/>
      <c r="AA47" s="133"/>
      <c r="AB47" s="133"/>
      <c r="AC47" s="133"/>
      <c r="AD47" s="133"/>
      <c r="AE47" s="133"/>
    </row>
    <row r="48" spans="2:31" ht="22" customHeight="1">
      <c r="B48" s="68"/>
      <c r="C48" s="242"/>
      <c r="D48" s="171">
        <v>19</v>
      </c>
      <c r="E48" s="361" t="s">
        <v>36</v>
      </c>
      <c r="F48" s="362"/>
      <c r="G48" s="363"/>
      <c r="H48" s="172" t="s">
        <v>96</v>
      </c>
      <c r="I48" s="353"/>
      <c r="J48" s="354"/>
      <c r="K48" s="354"/>
      <c r="L48" s="354"/>
      <c r="M48" s="355"/>
      <c r="N48" s="171">
        <v>43</v>
      </c>
      <c r="O48" s="361" t="s">
        <v>74</v>
      </c>
      <c r="P48" s="362"/>
      <c r="Q48" s="363"/>
      <c r="R48" s="172" t="s">
        <v>102</v>
      </c>
      <c r="S48" s="356"/>
      <c r="T48" s="354"/>
      <c r="U48" s="354"/>
      <c r="V48" s="354"/>
      <c r="W48" s="355"/>
      <c r="X48" s="245"/>
      <c r="Y48" s="133"/>
      <c r="Z48" s="133"/>
      <c r="AA48" s="133"/>
      <c r="AB48" s="133"/>
      <c r="AC48" s="133"/>
      <c r="AD48" s="133"/>
      <c r="AE48" s="133"/>
    </row>
    <row r="49" spans="2:31" ht="22" customHeight="1">
      <c r="B49" s="68"/>
      <c r="C49" s="242"/>
      <c r="D49" s="171">
        <v>20</v>
      </c>
      <c r="E49" s="361" t="s">
        <v>44</v>
      </c>
      <c r="F49" s="362"/>
      <c r="G49" s="363"/>
      <c r="H49" s="172" t="s">
        <v>96</v>
      </c>
      <c r="I49" s="353"/>
      <c r="J49" s="354"/>
      <c r="K49" s="354"/>
      <c r="L49" s="354"/>
      <c r="M49" s="355"/>
      <c r="N49" s="171">
        <v>44</v>
      </c>
      <c r="O49" s="361" t="s">
        <v>81</v>
      </c>
      <c r="P49" s="362"/>
      <c r="Q49" s="363"/>
      <c r="R49" s="172" t="s">
        <v>102</v>
      </c>
      <c r="S49" s="356"/>
      <c r="T49" s="354"/>
      <c r="U49" s="354"/>
      <c r="V49" s="354"/>
      <c r="W49" s="355"/>
      <c r="X49" s="245"/>
      <c r="Y49" s="133"/>
      <c r="Z49" s="133"/>
      <c r="AA49" s="133"/>
      <c r="AB49" s="133"/>
      <c r="AC49" s="133"/>
      <c r="AD49" s="133"/>
      <c r="AE49" s="133"/>
    </row>
    <row r="50" spans="2:31" ht="22" customHeight="1">
      <c r="B50" s="68"/>
      <c r="C50" s="242"/>
      <c r="D50" s="171">
        <v>21</v>
      </c>
      <c r="E50" s="361" t="s">
        <v>41</v>
      </c>
      <c r="F50" s="362"/>
      <c r="G50" s="363"/>
      <c r="H50" s="172" t="s">
        <v>97</v>
      </c>
      <c r="I50" s="357"/>
      <c r="J50" s="354"/>
      <c r="K50" s="354"/>
      <c r="L50" s="354"/>
      <c r="M50" s="355"/>
      <c r="N50" s="171">
        <v>45</v>
      </c>
      <c r="O50" s="361" t="s">
        <v>79</v>
      </c>
      <c r="P50" s="362"/>
      <c r="Q50" s="363"/>
      <c r="R50" s="172" t="s">
        <v>103</v>
      </c>
      <c r="S50" s="356"/>
      <c r="T50" s="354"/>
      <c r="U50" s="354"/>
      <c r="V50" s="354"/>
      <c r="W50" s="355"/>
      <c r="X50" s="245"/>
      <c r="Y50" s="133"/>
      <c r="Z50" s="133"/>
      <c r="AA50" s="133"/>
      <c r="AB50" s="133"/>
      <c r="AC50" s="133"/>
      <c r="AD50" s="133"/>
      <c r="AE50" s="133"/>
    </row>
    <row r="51" spans="2:31" ht="22" customHeight="1">
      <c r="B51" s="68"/>
      <c r="C51" s="242"/>
      <c r="D51" s="171">
        <v>22</v>
      </c>
      <c r="E51" s="361" t="s">
        <v>40</v>
      </c>
      <c r="F51" s="362"/>
      <c r="G51" s="363"/>
      <c r="H51" s="172" t="s">
        <v>97</v>
      </c>
      <c r="I51" s="353"/>
      <c r="J51" s="354"/>
      <c r="K51" s="354"/>
      <c r="L51" s="354"/>
      <c r="M51" s="355"/>
      <c r="N51" s="171">
        <v>46</v>
      </c>
      <c r="O51" s="361" t="s">
        <v>78</v>
      </c>
      <c r="P51" s="362"/>
      <c r="Q51" s="363"/>
      <c r="R51" s="172" t="s">
        <v>103</v>
      </c>
      <c r="S51" s="356"/>
      <c r="T51" s="354"/>
      <c r="U51" s="354"/>
      <c r="V51" s="354"/>
      <c r="W51" s="355"/>
      <c r="X51" s="245"/>
      <c r="Y51" s="133"/>
      <c r="Z51" s="133"/>
      <c r="AA51" s="133"/>
      <c r="AB51" s="133"/>
      <c r="AC51" s="133"/>
      <c r="AD51" s="133"/>
      <c r="AE51" s="133"/>
    </row>
    <row r="52" spans="2:31" ht="22" customHeight="1">
      <c r="B52" s="68"/>
      <c r="C52" s="242"/>
      <c r="D52" s="171">
        <v>23</v>
      </c>
      <c r="E52" s="361" t="s">
        <v>46</v>
      </c>
      <c r="F52" s="362"/>
      <c r="G52" s="363"/>
      <c r="H52" s="172" t="s">
        <v>97</v>
      </c>
      <c r="I52" s="353"/>
      <c r="J52" s="354"/>
      <c r="K52" s="354"/>
      <c r="L52" s="354"/>
      <c r="M52" s="355"/>
      <c r="N52" s="171">
        <v>47</v>
      </c>
      <c r="O52" s="361" t="s">
        <v>80</v>
      </c>
      <c r="P52" s="362"/>
      <c r="Q52" s="363"/>
      <c r="R52" s="172" t="s">
        <v>103</v>
      </c>
      <c r="S52" s="356"/>
      <c r="T52" s="354"/>
      <c r="U52" s="354"/>
      <c r="V52" s="354"/>
      <c r="W52" s="355"/>
      <c r="X52" s="245"/>
      <c r="Y52" s="133"/>
      <c r="Z52" s="133"/>
      <c r="AA52" s="133"/>
      <c r="AB52" s="133"/>
      <c r="AC52" s="133"/>
      <c r="AD52" s="133"/>
      <c r="AE52" s="133"/>
    </row>
    <row r="53" spans="2:31" ht="22" customHeight="1">
      <c r="B53" s="68"/>
      <c r="C53" s="242"/>
      <c r="D53" s="171">
        <v>24</v>
      </c>
      <c r="E53" s="361" t="s">
        <v>47</v>
      </c>
      <c r="F53" s="362"/>
      <c r="G53" s="363"/>
      <c r="H53" s="172" t="s">
        <v>97</v>
      </c>
      <c r="I53" s="353"/>
      <c r="J53" s="354"/>
      <c r="K53" s="354"/>
      <c r="L53" s="354"/>
      <c r="M53" s="355"/>
      <c r="N53" s="171">
        <v>48</v>
      </c>
      <c r="O53" s="361" t="s">
        <v>77</v>
      </c>
      <c r="P53" s="362"/>
      <c r="Q53" s="363"/>
      <c r="R53" s="172" t="s">
        <v>103</v>
      </c>
      <c r="S53" s="356"/>
      <c r="T53" s="354"/>
      <c r="U53" s="354"/>
      <c r="V53" s="354"/>
      <c r="W53" s="355"/>
      <c r="X53" s="245"/>
      <c r="Y53" s="133"/>
      <c r="Z53" s="133"/>
      <c r="AA53" s="133"/>
      <c r="AB53" s="133"/>
      <c r="AC53" s="133"/>
      <c r="AD53" s="133"/>
      <c r="AE53" s="133"/>
    </row>
    <row r="54" spans="2:31" ht="7.5" customHeight="1">
      <c r="B54" s="68"/>
      <c r="C54" s="68"/>
      <c r="D54" s="246"/>
      <c r="E54" s="246"/>
      <c r="F54" s="246"/>
      <c r="G54" s="246"/>
      <c r="H54" s="246"/>
      <c r="I54" s="246"/>
      <c r="J54" s="246"/>
      <c r="K54" s="246"/>
      <c r="L54" s="246"/>
      <c r="M54" s="246"/>
      <c r="N54" s="246"/>
      <c r="O54" s="246"/>
      <c r="P54" s="246"/>
      <c r="Q54" s="246"/>
      <c r="R54" s="246"/>
      <c r="S54" s="246"/>
      <c r="T54" s="246"/>
      <c r="U54" s="246"/>
      <c r="V54" s="246"/>
      <c r="W54" s="246"/>
      <c r="X54" s="68"/>
      <c r="Y54" s="136"/>
      <c r="Z54" s="136"/>
      <c r="AA54" s="136"/>
      <c r="AB54" s="136"/>
      <c r="AC54" s="136"/>
      <c r="AD54" s="136"/>
      <c r="AE54" s="136"/>
    </row>
    <row r="55" spans="2:31" ht="7.5" customHeight="1">
      <c r="B55" s="68"/>
      <c r="C55" s="68"/>
      <c r="D55" s="68"/>
      <c r="E55" s="68"/>
      <c r="F55" s="68"/>
      <c r="G55" s="68"/>
      <c r="H55" s="68"/>
      <c r="I55" s="68"/>
      <c r="J55" s="68"/>
      <c r="K55" s="68"/>
      <c r="L55" s="68"/>
      <c r="M55" s="131"/>
      <c r="N55" s="68"/>
      <c r="O55" s="68"/>
      <c r="P55" s="68"/>
      <c r="Q55" s="68"/>
      <c r="R55" s="68"/>
      <c r="S55" s="68"/>
      <c r="T55" s="68"/>
      <c r="U55" s="68"/>
      <c r="V55" s="68"/>
      <c r="W55" s="68"/>
      <c r="X55" s="68"/>
      <c r="Y55" s="136"/>
      <c r="Z55" s="136"/>
      <c r="AA55" s="136"/>
      <c r="AB55" s="136"/>
      <c r="AC55" s="136"/>
      <c r="AD55" s="136"/>
      <c r="AE55" s="136"/>
    </row>
    <row r="56" spans="2:31" ht="15" customHeight="1">
      <c r="B56" s="68"/>
      <c r="C56" s="68"/>
      <c r="D56" s="68"/>
      <c r="E56" s="68"/>
      <c r="F56" s="68"/>
      <c r="G56" s="68"/>
      <c r="H56" s="68"/>
      <c r="I56" s="68"/>
      <c r="J56" s="68"/>
      <c r="K56" s="68"/>
      <c r="L56" s="68"/>
      <c r="M56" s="131"/>
      <c r="N56" s="68"/>
      <c r="O56" s="68"/>
      <c r="P56" s="68"/>
      <c r="Q56" s="68"/>
      <c r="R56" s="68"/>
      <c r="S56" s="68"/>
      <c r="T56" s="68"/>
      <c r="U56" s="68"/>
      <c r="V56" s="68"/>
      <c r="W56" s="68"/>
      <c r="X56" s="68"/>
      <c r="Y56" s="136"/>
      <c r="Z56" s="136"/>
      <c r="AA56" s="136"/>
      <c r="AB56" s="136"/>
      <c r="AC56" s="136"/>
      <c r="AD56" s="136"/>
      <c r="AE56" s="136"/>
    </row>
    <row r="57" spans="2:31" ht="15" customHeight="1">
      <c r="B57" s="68"/>
      <c r="C57" s="68"/>
      <c r="D57" s="68"/>
      <c r="E57" s="68"/>
      <c r="F57" s="68"/>
      <c r="G57" s="68"/>
      <c r="H57" s="68"/>
      <c r="I57" s="68"/>
      <c r="J57" s="68"/>
      <c r="K57" s="68"/>
      <c r="L57" s="68"/>
      <c r="M57" s="131"/>
      <c r="N57" s="68"/>
      <c r="O57" s="68"/>
      <c r="P57" s="68"/>
      <c r="Q57" s="68"/>
      <c r="R57" s="68"/>
      <c r="S57" s="68"/>
      <c r="T57" s="68"/>
      <c r="U57" s="68"/>
      <c r="V57" s="68"/>
      <c r="W57" s="68"/>
      <c r="X57" s="68"/>
      <c r="Y57" s="136"/>
      <c r="Z57" s="136"/>
      <c r="AA57" s="136"/>
      <c r="AB57" s="136"/>
      <c r="AC57" s="136"/>
      <c r="AD57" s="136"/>
      <c r="AE57" s="136"/>
    </row>
    <row r="58" spans="2:31" ht="15" customHeight="1">
      <c r="B58" s="68"/>
      <c r="C58" s="68"/>
      <c r="D58" s="68"/>
      <c r="E58" s="68"/>
      <c r="F58" s="68"/>
      <c r="G58" s="68"/>
      <c r="H58" s="68"/>
      <c r="I58" s="68"/>
      <c r="J58" s="68"/>
      <c r="K58" s="68"/>
      <c r="L58" s="68"/>
      <c r="M58" s="131"/>
      <c r="N58" s="68"/>
      <c r="O58" s="68"/>
      <c r="P58" s="68"/>
      <c r="Q58" s="68"/>
      <c r="R58" s="68"/>
      <c r="S58" s="68"/>
      <c r="T58" s="68"/>
      <c r="U58" s="68"/>
      <c r="V58" s="68"/>
      <c r="W58" s="68"/>
      <c r="X58" s="68"/>
      <c r="Y58" s="136"/>
      <c r="Z58" s="136"/>
      <c r="AA58" s="136"/>
      <c r="AB58" s="136"/>
      <c r="AC58" s="136"/>
      <c r="AD58" s="136"/>
      <c r="AE58" s="136"/>
    </row>
    <row r="59" spans="2:31" ht="15" customHeight="1">
      <c r="B59" s="68"/>
      <c r="C59" s="68"/>
      <c r="D59" s="68"/>
      <c r="E59" s="68"/>
      <c r="F59" s="68"/>
      <c r="G59" s="68"/>
      <c r="H59" s="68"/>
      <c r="I59" s="68"/>
      <c r="J59" s="68"/>
      <c r="K59" s="68"/>
      <c r="L59" s="68"/>
      <c r="M59" s="131"/>
      <c r="N59" s="68"/>
      <c r="O59" s="68"/>
      <c r="P59" s="68"/>
      <c r="Q59" s="68"/>
      <c r="R59" s="68"/>
      <c r="S59" s="68"/>
      <c r="T59" s="68"/>
      <c r="U59" s="68"/>
      <c r="V59" s="68"/>
      <c r="W59" s="68"/>
      <c r="X59" s="68"/>
      <c r="Y59" s="136"/>
      <c r="Z59" s="136"/>
      <c r="AA59" s="136"/>
      <c r="AB59" s="136"/>
      <c r="AC59" s="136"/>
      <c r="AD59" s="136"/>
      <c r="AE59" s="136"/>
    </row>
    <row r="60" spans="2:31" ht="15" customHeight="1">
      <c r="B60" s="68"/>
      <c r="C60" s="68"/>
      <c r="D60" s="68"/>
      <c r="E60" s="68"/>
      <c r="F60" s="68"/>
      <c r="G60" s="68"/>
      <c r="H60" s="68"/>
      <c r="I60" s="68"/>
      <c r="J60" s="68"/>
      <c r="K60" s="68"/>
      <c r="L60" s="68"/>
      <c r="M60" s="131"/>
      <c r="N60" s="68"/>
      <c r="O60" s="68"/>
      <c r="P60" s="68"/>
      <c r="Q60" s="68"/>
      <c r="R60" s="68"/>
      <c r="S60" s="68"/>
      <c r="T60" s="68"/>
      <c r="U60" s="68"/>
      <c r="V60" s="68"/>
      <c r="W60" s="68"/>
      <c r="X60" s="68"/>
      <c r="Y60" s="136"/>
      <c r="Z60" s="136"/>
      <c r="AA60" s="136"/>
      <c r="AB60" s="136"/>
      <c r="AC60" s="136"/>
      <c r="AD60" s="136"/>
      <c r="AE60" s="136"/>
    </row>
    <row r="61" spans="2:31" ht="15" customHeight="1">
      <c r="B61" s="68"/>
      <c r="C61" s="68"/>
      <c r="D61" s="68"/>
      <c r="E61" s="68"/>
      <c r="F61" s="68"/>
      <c r="G61" s="68"/>
      <c r="H61" s="68"/>
      <c r="I61" s="68"/>
      <c r="J61" s="68"/>
      <c r="K61" s="68"/>
      <c r="L61" s="68"/>
      <c r="M61" s="131"/>
      <c r="N61" s="68"/>
      <c r="O61" s="68"/>
      <c r="P61" s="68"/>
      <c r="Q61" s="68"/>
      <c r="R61" s="68"/>
      <c r="S61" s="68"/>
      <c r="T61" s="68"/>
      <c r="U61" s="68"/>
      <c r="V61" s="68"/>
      <c r="W61" s="68"/>
      <c r="X61" s="68"/>
      <c r="Y61" s="136"/>
      <c r="Z61" s="136"/>
      <c r="AA61" s="136"/>
      <c r="AB61" s="136"/>
      <c r="AC61" s="136"/>
      <c r="AD61" s="136"/>
      <c r="AE61" s="136"/>
    </row>
    <row r="62" spans="2:31" ht="15" customHeight="1">
      <c r="B62" s="68"/>
      <c r="C62" s="68"/>
      <c r="D62" s="68"/>
      <c r="E62" s="68"/>
      <c r="F62" s="68"/>
      <c r="G62" s="68"/>
      <c r="H62" s="68"/>
      <c r="I62" s="68"/>
      <c r="J62" s="68"/>
      <c r="K62" s="68"/>
      <c r="L62" s="68"/>
      <c r="M62" s="131"/>
      <c r="N62" s="68"/>
      <c r="O62" s="68"/>
      <c r="P62" s="68"/>
      <c r="Q62" s="68"/>
      <c r="R62" s="68"/>
      <c r="S62" s="68"/>
      <c r="T62" s="68"/>
      <c r="U62" s="68"/>
      <c r="V62" s="68"/>
      <c r="W62" s="68"/>
      <c r="X62" s="68"/>
      <c r="Y62" s="136"/>
      <c r="Z62" s="136"/>
      <c r="AA62" s="136"/>
      <c r="AB62" s="136"/>
      <c r="AC62" s="136"/>
      <c r="AD62" s="136"/>
      <c r="AE62" s="136"/>
    </row>
    <row r="63" spans="2:31" ht="15" customHeight="1">
      <c r="B63" s="68"/>
      <c r="C63" s="68"/>
      <c r="D63" s="68"/>
      <c r="E63" s="68"/>
      <c r="F63" s="68"/>
      <c r="G63" s="68"/>
      <c r="H63" s="68"/>
      <c r="I63" s="68"/>
      <c r="J63" s="68"/>
      <c r="K63" s="68"/>
      <c r="L63" s="68"/>
      <c r="M63" s="131"/>
      <c r="N63" s="68"/>
      <c r="O63" s="68"/>
      <c r="P63" s="68"/>
      <c r="Q63" s="68"/>
      <c r="R63" s="68"/>
      <c r="S63" s="68"/>
      <c r="T63" s="68"/>
      <c r="U63" s="68"/>
      <c r="V63" s="68"/>
      <c r="W63" s="68"/>
      <c r="X63" s="68"/>
      <c r="Y63" s="136"/>
      <c r="Z63" s="136"/>
      <c r="AA63" s="136"/>
      <c r="AB63" s="136"/>
      <c r="AC63" s="136"/>
      <c r="AD63" s="136"/>
      <c r="AE63" s="136"/>
    </row>
    <row r="64" spans="2:31" ht="15" customHeight="1">
      <c r="B64" s="68"/>
      <c r="C64" s="68"/>
      <c r="D64" s="68"/>
      <c r="E64" s="68"/>
      <c r="F64" s="68"/>
      <c r="G64" s="68"/>
      <c r="H64" s="68"/>
      <c r="I64" s="68"/>
      <c r="J64" s="68"/>
      <c r="K64" s="68"/>
      <c r="L64" s="68"/>
      <c r="M64" s="131"/>
      <c r="N64" s="68"/>
      <c r="O64" s="68"/>
      <c r="P64" s="68"/>
      <c r="Q64" s="68"/>
      <c r="R64" s="68"/>
      <c r="S64" s="68"/>
      <c r="T64" s="68"/>
      <c r="U64" s="68"/>
      <c r="V64" s="68"/>
      <c r="W64" s="68"/>
      <c r="X64" s="68"/>
      <c r="Y64" s="136"/>
      <c r="Z64" s="136"/>
      <c r="AA64" s="136"/>
      <c r="AB64" s="136"/>
      <c r="AC64" s="136"/>
      <c r="AD64" s="136"/>
      <c r="AE64" s="136"/>
    </row>
    <row r="65" spans="2:31" ht="15" customHeight="1">
      <c r="B65" s="68"/>
      <c r="C65" s="68"/>
      <c r="D65" s="68"/>
      <c r="E65" s="68"/>
      <c r="F65" s="68"/>
      <c r="G65" s="68"/>
      <c r="H65" s="68"/>
      <c r="I65" s="68"/>
      <c r="J65" s="68"/>
      <c r="K65" s="68"/>
      <c r="L65" s="68"/>
      <c r="M65" s="131"/>
      <c r="N65" s="68"/>
      <c r="O65" s="68"/>
      <c r="P65" s="68"/>
      <c r="Q65" s="68"/>
      <c r="R65" s="68"/>
      <c r="S65" s="68"/>
      <c r="T65" s="68"/>
      <c r="U65" s="68"/>
      <c r="V65" s="68"/>
      <c r="W65" s="68"/>
      <c r="X65" s="68"/>
      <c r="Y65" s="136"/>
      <c r="Z65" s="136"/>
      <c r="AA65" s="136"/>
      <c r="AB65" s="136"/>
      <c r="AC65" s="136"/>
      <c r="AD65" s="136"/>
      <c r="AE65" s="136"/>
    </row>
    <row r="66" spans="2:31" ht="15" customHeight="1">
      <c r="B66" s="68"/>
      <c r="C66" s="68"/>
      <c r="D66" s="68"/>
      <c r="E66" s="68"/>
      <c r="F66" s="68"/>
      <c r="G66" s="68"/>
      <c r="H66" s="68"/>
      <c r="I66" s="68"/>
      <c r="J66" s="68"/>
      <c r="K66" s="68"/>
      <c r="L66" s="68"/>
      <c r="M66" s="131"/>
      <c r="N66" s="68"/>
      <c r="O66" s="68"/>
      <c r="P66" s="68"/>
      <c r="Q66" s="68"/>
      <c r="R66" s="68"/>
      <c r="S66" s="68"/>
      <c r="T66" s="68"/>
      <c r="U66" s="68"/>
      <c r="V66" s="68"/>
      <c r="W66" s="68"/>
      <c r="X66" s="68"/>
      <c r="Y66" s="136"/>
      <c r="Z66" s="136"/>
      <c r="AA66" s="136"/>
      <c r="AB66" s="136"/>
      <c r="AC66" s="136"/>
      <c r="AD66" s="136"/>
      <c r="AE66" s="136"/>
    </row>
    <row r="67" spans="2:31" ht="15" customHeight="1">
      <c r="B67" s="68"/>
      <c r="C67" s="68"/>
      <c r="D67" s="68"/>
      <c r="E67" s="68"/>
      <c r="F67" s="68"/>
      <c r="G67" s="68"/>
      <c r="H67" s="68"/>
      <c r="I67" s="68"/>
      <c r="J67" s="68"/>
      <c r="K67" s="68"/>
      <c r="L67" s="68"/>
      <c r="M67" s="131"/>
      <c r="N67" s="68"/>
      <c r="O67" s="68"/>
      <c r="P67" s="68"/>
      <c r="Q67" s="68"/>
      <c r="R67" s="68"/>
      <c r="S67" s="68"/>
      <c r="T67" s="68"/>
      <c r="U67" s="68"/>
      <c r="V67" s="68"/>
      <c r="W67" s="68"/>
      <c r="X67" s="68"/>
      <c r="Y67" s="136"/>
      <c r="Z67" s="136"/>
      <c r="AA67" s="136"/>
      <c r="AB67" s="136"/>
      <c r="AC67" s="136"/>
      <c r="AD67" s="136"/>
      <c r="AE67" s="136"/>
    </row>
    <row r="68" spans="2:31" ht="15" customHeight="1">
      <c r="B68" s="68"/>
      <c r="C68" s="68"/>
      <c r="D68" s="68"/>
      <c r="E68" s="68"/>
      <c r="F68" s="68"/>
      <c r="G68" s="68"/>
      <c r="H68" s="68"/>
      <c r="I68" s="68"/>
      <c r="J68" s="68"/>
      <c r="K68" s="68"/>
      <c r="L68" s="68"/>
      <c r="M68" s="131"/>
      <c r="N68" s="68"/>
      <c r="O68" s="68"/>
      <c r="P68" s="68"/>
      <c r="Q68" s="68"/>
      <c r="R68" s="68"/>
      <c r="S68" s="68"/>
      <c r="T68" s="68"/>
      <c r="U68" s="68"/>
      <c r="V68" s="68"/>
      <c r="W68" s="68"/>
      <c r="X68" s="68"/>
      <c r="Y68" s="136"/>
      <c r="Z68" s="136"/>
      <c r="AA68" s="136"/>
      <c r="AB68" s="136"/>
      <c r="AC68" s="136"/>
      <c r="AD68" s="136"/>
      <c r="AE68" s="136"/>
    </row>
    <row r="69" spans="2:31" ht="15" customHeight="1">
      <c r="B69" s="68"/>
      <c r="C69" s="68"/>
      <c r="D69" s="68"/>
      <c r="E69" s="68"/>
      <c r="F69" s="68"/>
      <c r="G69" s="68"/>
      <c r="H69" s="68"/>
      <c r="I69" s="68"/>
      <c r="J69" s="68"/>
      <c r="K69" s="68"/>
      <c r="L69" s="68"/>
      <c r="M69" s="131"/>
      <c r="N69" s="68"/>
      <c r="O69" s="68"/>
      <c r="P69" s="68"/>
      <c r="Q69" s="68"/>
      <c r="R69" s="68"/>
      <c r="S69" s="68"/>
      <c r="T69" s="68"/>
      <c r="U69" s="68"/>
      <c r="V69" s="68"/>
      <c r="W69" s="68"/>
      <c r="X69" s="68"/>
      <c r="Y69" s="136"/>
      <c r="Z69" s="136"/>
      <c r="AA69" s="136"/>
      <c r="AB69" s="136"/>
      <c r="AC69" s="136"/>
      <c r="AD69" s="136"/>
      <c r="AE69" s="136"/>
    </row>
    <row r="70" spans="2:31" ht="15" customHeight="1">
      <c r="B70" s="68"/>
      <c r="C70" s="68"/>
      <c r="D70" s="68"/>
      <c r="E70" s="68"/>
      <c r="F70" s="68"/>
      <c r="G70" s="68"/>
      <c r="H70" s="68"/>
      <c r="I70" s="68"/>
      <c r="J70" s="68"/>
      <c r="K70" s="68"/>
      <c r="L70" s="68"/>
      <c r="M70" s="131"/>
      <c r="N70" s="68"/>
      <c r="O70" s="68"/>
      <c r="P70" s="68"/>
      <c r="Q70" s="68"/>
      <c r="R70" s="68"/>
      <c r="S70" s="68"/>
      <c r="T70" s="68"/>
      <c r="U70" s="68"/>
      <c r="V70" s="68"/>
      <c r="W70" s="68"/>
      <c r="X70" s="68"/>
      <c r="Y70" s="136"/>
      <c r="Z70" s="136"/>
      <c r="AA70" s="136"/>
      <c r="AB70" s="136"/>
      <c r="AC70" s="136"/>
      <c r="AD70" s="136"/>
      <c r="AE70" s="136"/>
    </row>
    <row r="71" spans="2:31" ht="15" customHeight="1">
      <c r="B71" s="68"/>
      <c r="C71" s="68"/>
      <c r="D71" s="68"/>
      <c r="E71" s="68"/>
      <c r="F71" s="68"/>
      <c r="G71" s="68"/>
      <c r="H71" s="68"/>
      <c r="I71" s="68"/>
      <c r="J71" s="68"/>
      <c r="K71" s="68"/>
      <c r="L71" s="68"/>
      <c r="M71" s="131"/>
      <c r="N71" s="68"/>
      <c r="O71" s="68"/>
      <c r="P71" s="68"/>
      <c r="Q71" s="68"/>
      <c r="R71" s="68"/>
      <c r="S71" s="68"/>
      <c r="T71" s="68"/>
      <c r="U71" s="68"/>
      <c r="V71" s="68"/>
      <c r="W71" s="68"/>
      <c r="X71" s="68"/>
      <c r="Y71" s="136"/>
      <c r="Z71" s="136"/>
      <c r="AA71" s="136"/>
      <c r="AB71" s="136"/>
      <c r="AC71" s="136"/>
      <c r="AD71" s="136"/>
      <c r="AE71" s="136"/>
    </row>
    <row r="72" spans="2:31" ht="15" customHeight="1">
      <c r="B72" s="68"/>
      <c r="C72" s="68"/>
      <c r="D72" s="68"/>
      <c r="E72" s="68"/>
      <c r="F72" s="68"/>
      <c r="G72" s="68"/>
      <c r="H72" s="68"/>
      <c r="I72" s="68"/>
      <c r="J72" s="68"/>
      <c r="K72" s="68"/>
      <c r="L72" s="68"/>
      <c r="M72" s="131"/>
      <c r="N72" s="68"/>
      <c r="O72" s="68"/>
      <c r="P72" s="68"/>
      <c r="Q72" s="68"/>
      <c r="R72" s="68"/>
      <c r="S72" s="68"/>
      <c r="T72" s="68"/>
      <c r="U72" s="68"/>
      <c r="V72" s="68"/>
      <c r="W72" s="68"/>
      <c r="X72" s="68"/>
      <c r="Y72" s="136"/>
      <c r="Z72" s="136"/>
      <c r="AA72" s="136"/>
      <c r="AB72" s="136"/>
      <c r="AC72" s="136"/>
      <c r="AD72" s="136"/>
      <c r="AE72" s="136"/>
    </row>
    <row r="73" spans="2:31" ht="15" customHeight="1">
      <c r="B73" s="68"/>
      <c r="C73" s="68"/>
      <c r="D73" s="68"/>
      <c r="E73" s="68"/>
      <c r="F73" s="68"/>
      <c r="G73" s="68"/>
      <c r="H73" s="68"/>
      <c r="I73" s="68"/>
      <c r="J73" s="68"/>
      <c r="K73" s="68"/>
      <c r="L73" s="68"/>
      <c r="M73" s="131"/>
      <c r="N73" s="68"/>
      <c r="O73" s="68"/>
      <c r="P73" s="68"/>
      <c r="Q73" s="68"/>
      <c r="R73" s="68"/>
      <c r="S73" s="68"/>
      <c r="T73" s="68"/>
      <c r="U73" s="68"/>
      <c r="V73" s="68"/>
      <c r="W73" s="68"/>
      <c r="X73" s="68"/>
      <c r="Y73" s="136"/>
      <c r="Z73" s="136"/>
      <c r="AA73" s="136"/>
      <c r="AB73" s="136"/>
      <c r="AC73" s="136"/>
      <c r="AD73" s="136"/>
      <c r="AE73" s="136"/>
    </row>
    <row r="74" spans="2:31" ht="15" customHeight="1">
      <c r="B74" s="68"/>
      <c r="C74" s="68"/>
      <c r="D74" s="68"/>
      <c r="E74" s="68"/>
      <c r="F74" s="68"/>
      <c r="G74" s="68"/>
      <c r="H74" s="68"/>
      <c r="I74" s="68"/>
      <c r="J74" s="68"/>
      <c r="K74" s="68"/>
      <c r="L74" s="68"/>
      <c r="M74" s="131"/>
      <c r="N74" s="68"/>
      <c r="O74" s="68"/>
      <c r="P74" s="68"/>
      <c r="Q74" s="68"/>
      <c r="R74" s="68"/>
      <c r="S74" s="68"/>
      <c r="T74" s="68"/>
      <c r="U74" s="68"/>
      <c r="V74" s="68"/>
      <c r="W74" s="68"/>
      <c r="X74" s="68"/>
      <c r="Y74" s="136"/>
      <c r="Z74" s="136"/>
      <c r="AA74" s="136"/>
      <c r="AB74" s="136"/>
      <c r="AC74" s="136"/>
      <c r="AD74" s="136"/>
      <c r="AE74" s="136"/>
    </row>
    <row r="75" spans="2:31" ht="15" customHeight="1">
      <c r="B75" s="68"/>
      <c r="C75" s="68"/>
      <c r="D75" s="68"/>
      <c r="E75" s="68"/>
      <c r="F75" s="68"/>
      <c r="G75" s="68"/>
      <c r="H75" s="68"/>
      <c r="I75" s="68"/>
      <c r="J75" s="68"/>
      <c r="K75" s="68"/>
      <c r="L75" s="68"/>
      <c r="M75" s="131"/>
      <c r="N75" s="68"/>
      <c r="O75" s="68"/>
      <c r="P75" s="68"/>
      <c r="Q75" s="68"/>
      <c r="R75" s="68"/>
      <c r="S75" s="68"/>
      <c r="T75" s="68"/>
      <c r="U75" s="68"/>
      <c r="V75" s="68"/>
      <c r="W75" s="68"/>
      <c r="X75" s="68"/>
      <c r="Y75" s="136"/>
      <c r="Z75" s="136"/>
      <c r="AA75" s="136"/>
      <c r="AB75" s="136"/>
      <c r="AC75" s="136"/>
      <c r="AD75" s="136"/>
      <c r="AE75" s="136"/>
    </row>
    <row r="76" spans="2:31" ht="15" customHeight="1">
      <c r="B76" s="68"/>
      <c r="C76" s="68"/>
      <c r="D76" s="68"/>
      <c r="E76" s="68"/>
      <c r="F76" s="68"/>
      <c r="G76" s="68"/>
      <c r="H76" s="68"/>
      <c r="I76" s="68"/>
      <c r="J76" s="68"/>
      <c r="K76" s="68"/>
      <c r="L76" s="68"/>
      <c r="M76" s="131"/>
      <c r="N76" s="68"/>
      <c r="O76" s="68"/>
      <c r="P76" s="68"/>
      <c r="Q76" s="68"/>
      <c r="R76" s="68"/>
      <c r="S76" s="68"/>
      <c r="T76" s="68"/>
      <c r="U76" s="68"/>
      <c r="V76" s="68"/>
      <c r="W76" s="68"/>
      <c r="X76" s="68"/>
      <c r="Y76" s="136"/>
      <c r="Z76" s="136"/>
      <c r="AA76" s="136"/>
      <c r="AB76" s="136"/>
      <c r="AC76" s="136"/>
      <c r="AD76" s="136"/>
      <c r="AE76" s="136"/>
    </row>
    <row r="77" spans="2:31" ht="15" customHeight="1">
      <c r="B77" s="68"/>
      <c r="C77" s="68"/>
      <c r="D77" s="68"/>
      <c r="E77" s="68"/>
      <c r="F77" s="68"/>
      <c r="G77" s="68"/>
      <c r="H77" s="68"/>
      <c r="I77" s="68"/>
      <c r="J77" s="68"/>
      <c r="K77" s="68"/>
      <c r="L77" s="68"/>
      <c r="M77" s="131"/>
      <c r="N77" s="68"/>
      <c r="O77" s="68"/>
      <c r="P77" s="68"/>
      <c r="Q77" s="68"/>
      <c r="R77" s="68"/>
      <c r="S77" s="68"/>
      <c r="T77" s="68"/>
      <c r="U77" s="68"/>
      <c r="V77" s="68"/>
      <c r="W77" s="68"/>
      <c r="X77" s="68"/>
      <c r="Y77" s="136"/>
      <c r="Z77" s="136"/>
      <c r="AA77" s="136"/>
      <c r="AB77" s="136"/>
      <c r="AC77" s="136"/>
      <c r="AD77" s="136"/>
      <c r="AE77" s="136"/>
    </row>
    <row r="78" spans="2:31" ht="15" customHeight="1">
      <c r="B78" s="68"/>
      <c r="C78" s="68"/>
      <c r="D78" s="68"/>
      <c r="E78" s="68"/>
      <c r="F78" s="68"/>
      <c r="G78" s="68"/>
      <c r="H78" s="68"/>
      <c r="I78" s="68"/>
      <c r="J78" s="68"/>
      <c r="K78" s="68"/>
      <c r="L78" s="68"/>
      <c r="M78" s="131"/>
      <c r="N78" s="68"/>
      <c r="O78" s="68"/>
      <c r="P78" s="68"/>
      <c r="Q78" s="68"/>
      <c r="R78" s="68"/>
      <c r="S78" s="68"/>
      <c r="T78" s="68"/>
      <c r="U78" s="68"/>
      <c r="V78" s="68"/>
      <c r="W78" s="68"/>
      <c r="X78" s="68"/>
      <c r="Y78" s="136"/>
      <c r="Z78" s="136"/>
      <c r="AA78" s="136"/>
      <c r="AB78" s="136"/>
      <c r="AC78" s="136"/>
      <c r="AD78" s="136"/>
      <c r="AE78" s="136"/>
    </row>
    <row r="79" spans="2:31" ht="15" customHeight="1">
      <c r="B79" s="68"/>
      <c r="C79" s="68"/>
      <c r="D79" s="68"/>
      <c r="E79" s="68"/>
      <c r="F79" s="68"/>
      <c r="G79" s="68"/>
      <c r="H79" s="68"/>
      <c r="I79" s="68"/>
      <c r="J79" s="68"/>
      <c r="K79" s="68"/>
      <c r="L79" s="68"/>
      <c r="M79" s="131"/>
      <c r="N79" s="68"/>
      <c r="O79" s="68"/>
      <c r="P79" s="68"/>
      <c r="Q79" s="68"/>
      <c r="R79" s="68"/>
      <c r="S79" s="68"/>
      <c r="T79" s="68"/>
      <c r="U79" s="68"/>
      <c r="V79" s="68"/>
      <c r="W79" s="68"/>
      <c r="X79" s="68"/>
      <c r="Y79" s="136"/>
      <c r="Z79" s="136"/>
      <c r="AA79" s="136"/>
      <c r="AB79" s="136"/>
      <c r="AC79" s="136"/>
      <c r="AD79" s="136"/>
      <c r="AE79" s="136"/>
    </row>
    <row r="80" spans="2:31" ht="15" customHeight="1">
      <c r="B80" s="68"/>
      <c r="C80" s="68"/>
      <c r="D80" s="68"/>
      <c r="E80" s="68"/>
      <c r="F80" s="68"/>
      <c r="G80" s="68"/>
      <c r="H80" s="68"/>
      <c r="I80" s="68"/>
      <c r="J80" s="68"/>
      <c r="K80" s="68"/>
      <c r="L80" s="68"/>
      <c r="M80" s="131"/>
      <c r="N80" s="68"/>
      <c r="O80" s="68"/>
      <c r="P80" s="68"/>
      <c r="Q80" s="68"/>
      <c r="R80" s="68"/>
      <c r="S80" s="68"/>
      <c r="T80" s="68"/>
      <c r="U80" s="68"/>
      <c r="V80" s="68"/>
      <c r="W80" s="68"/>
      <c r="X80" s="68"/>
      <c r="Y80" s="136"/>
      <c r="Z80" s="136"/>
      <c r="AA80" s="136"/>
      <c r="AB80" s="136"/>
      <c r="AC80" s="136"/>
      <c r="AD80" s="136"/>
      <c r="AE80" s="136"/>
    </row>
    <row r="81" spans="2:31" ht="15" customHeight="1">
      <c r="B81" s="68"/>
      <c r="C81" s="68"/>
      <c r="D81" s="68"/>
      <c r="E81" s="68"/>
      <c r="F81" s="68"/>
      <c r="G81" s="68"/>
      <c r="H81" s="68"/>
      <c r="I81" s="68"/>
      <c r="J81" s="68"/>
      <c r="K81" s="68"/>
      <c r="L81" s="68"/>
      <c r="M81" s="131"/>
      <c r="N81" s="68"/>
      <c r="O81" s="68"/>
      <c r="P81" s="68"/>
      <c r="Q81" s="68"/>
      <c r="R81" s="68"/>
      <c r="S81" s="68"/>
      <c r="T81" s="68"/>
      <c r="U81" s="68"/>
      <c r="V81" s="68"/>
      <c r="W81" s="68"/>
      <c r="X81" s="68"/>
      <c r="Y81" s="136"/>
      <c r="Z81" s="136"/>
      <c r="AA81" s="136"/>
      <c r="AB81" s="136"/>
      <c r="AC81" s="136"/>
      <c r="AD81" s="136"/>
      <c r="AE81" s="136"/>
    </row>
    <row r="82" spans="2:31" ht="15" customHeight="1">
      <c r="B82" s="68"/>
      <c r="C82" s="68"/>
      <c r="D82" s="68"/>
      <c r="E82" s="68"/>
      <c r="F82" s="68"/>
      <c r="G82" s="68"/>
      <c r="H82" s="68"/>
      <c r="I82" s="68"/>
      <c r="J82" s="68"/>
      <c r="K82" s="68"/>
      <c r="L82" s="68"/>
      <c r="M82" s="131"/>
      <c r="N82" s="68"/>
      <c r="O82" s="68"/>
      <c r="P82" s="68"/>
      <c r="Q82" s="68"/>
      <c r="R82" s="68"/>
      <c r="S82" s="68"/>
      <c r="T82" s="68"/>
      <c r="U82" s="68"/>
      <c r="V82" s="68"/>
      <c r="W82" s="68"/>
      <c r="X82" s="68"/>
      <c r="Y82" s="136"/>
      <c r="Z82" s="136"/>
      <c r="AA82" s="136"/>
      <c r="AB82" s="136"/>
      <c r="AC82" s="136"/>
      <c r="AD82" s="136"/>
      <c r="AE82" s="136"/>
    </row>
    <row r="83" spans="2:31" ht="15" customHeight="1">
      <c r="B83" s="68"/>
      <c r="C83" s="68"/>
      <c r="D83" s="68"/>
      <c r="E83" s="68"/>
      <c r="F83" s="68"/>
      <c r="G83" s="68"/>
      <c r="H83" s="68"/>
      <c r="I83" s="68"/>
      <c r="J83" s="68"/>
      <c r="K83" s="68"/>
      <c r="L83" s="68"/>
      <c r="M83" s="131"/>
      <c r="N83" s="68"/>
      <c r="O83" s="68"/>
      <c r="P83" s="68"/>
      <c r="Q83" s="68"/>
      <c r="R83" s="68"/>
      <c r="S83" s="68"/>
      <c r="T83" s="68"/>
      <c r="U83" s="68"/>
      <c r="V83" s="68"/>
      <c r="W83" s="68"/>
      <c r="X83" s="68"/>
      <c r="Y83" s="136"/>
      <c r="Z83" s="136"/>
      <c r="AA83" s="136"/>
      <c r="AB83" s="136"/>
      <c r="AC83" s="136"/>
      <c r="AD83" s="136"/>
      <c r="AE83" s="136"/>
    </row>
    <row r="84" spans="2:31" ht="15" customHeight="1">
      <c r="B84" s="68"/>
      <c r="C84" s="68"/>
      <c r="D84" s="68"/>
      <c r="E84" s="68"/>
      <c r="F84" s="68"/>
      <c r="G84" s="68"/>
      <c r="H84" s="68"/>
      <c r="I84" s="68"/>
      <c r="J84" s="68"/>
      <c r="K84" s="68"/>
      <c r="L84" s="68"/>
      <c r="M84" s="131"/>
      <c r="N84" s="68"/>
      <c r="O84" s="68"/>
      <c r="P84" s="68"/>
      <c r="Q84" s="68"/>
      <c r="R84" s="68"/>
      <c r="S84" s="68"/>
      <c r="T84" s="68"/>
      <c r="U84" s="68"/>
      <c r="V84" s="68"/>
      <c r="W84" s="68"/>
      <c r="X84" s="68"/>
      <c r="Y84" s="136"/>
      <c r="Z84" s="136"/>
      <c r="AA84" s="136"/>
      <c r="AB84" s="136"/>
      <c r="AC84" s="136"/>
      <c r="AD84" s="136"/>
      <c r="AE84" s="136"/>
    </row>
    <row r="85" spans="2:31" ht="15" customHeight="1">
      <c r="B85" s="68"/>
      <c r="C85" s="68"/>
      <c r="D85" s="68"/>
      <c r="E85" s="68"/>
      <c r="F85" s="68"/>
      <c r="G85" s="68"/>
      <c r="H85" s="68"/>
      <c r="I85" s="68"/>
      <c r="J85" s="68"/>
      <c r="K85" s="68"/>
      <c r="L85" s="68"/>
      <c r="M85" s="131"/>
      <c r="N85" s="68"/>
      <c r="O85" s="68"/>
      <c r="P85" s="68"/>
      <c r="Q85" s="68"/>
      <c r="R85" s="68"/>
      <c r="S85" s="68"/>
      <c r="T85" s="68"/>
      <c r="U85" s="68"/>
      <c r="V85" s="68"/>
      <c r="W85" s="68"/>
      <c r="X85" s="68"/>
      <c r="Y85" s="136"/>
      <c r="Z85" s="136"/>
      <c r="AA85" s="136"/>
      <c r="AB85" s="136"/>
      <c r="AC85" s="136"/>
      <c r="AD85" s="136"/>
      <c r="AE85" s="136"/>
    </row>
    <row r="86" spans="2:31" ht="15" customHeight="1">
      <c r="B86" s="68"/>
      <c r="C86" s="68"/>
      <c r="D86" s="68"/>
      <c r="E86" s="68"/>
      <c r="F86" s="68"/>
      <c r="G86" s="68"/>
      <c r="H86" s="68"/>
      <c r="I86" s="68"/>
      <c r="J86" s="68"/>
      <c r="K86" s="68"/>
      <c r="L86" s="68"/>
      <c r="M86" s="131"/>
      <c r="N86" s="68"/>
      <c r="O86" s="68"/>
      <c r="P86" s="68"/>
      <c r="Q86" s="68"/>
      <c r="R86" s="68"/>
      <c r="S86" s="68"/>
      <c r="T86" s="68"/>
      <c r="U86" s="68"/>
      <c r="V86" s="68"/>
      <c r="W86" s="68"/>
      <c r="X86" s="68"/>
      <c r="Y86" s="136"/>
      <c r="Z86" s="136"/>
      <c r="AA86" s="136"/>
      <c r="AB86" s="136"/>
      <c r="AC86" s="136"/>
      <c r="AD86" s="136"/>
      <c r="AE86" s="136"/>
    </row>
    <row r="87" spans="2:31" ht="15" customHeight="1">
      <c r="B87" s="68"/>
      <c r="C87" s="68"/>
      <c r="D87" s="68"/>
      <c r="E87" s="68"/>
      <c r="F87" s="68"/>
      <c r="G87" s="68"/>
      <c r="H87" s="68"/>
      <c r="I87" s="68"/>
      <c r="J87" s="68"/>
      <c r="K87" s="68"/>
      <c r="L87" s="68"/>
      <c r="M87" s="131"/>
      <c r="N87" s="68"/>
      <c r="O87" s="68"/>
      <c r="P87" s="68"/>
      <c r="Q87" s="68"/>
      <c r="R87" s="68"/>
      <c r="S87" s="68"/>
      <c r="T87" s="68"/>
      <c r="U87" s="68"/>
      <c r="V87" s="68"/>
      <c r="W87" s="68"/>
      <c r="X87" s="68"/>
      <c r="Y87" s="136"/>
      <c r="Z87" s="136"/>
      <c r="AA87" s="136"/>
      <c r="AB87" s="136"/>
      <c r="AC87" s="136"/>
      <c r="AD87" s="136"/>
      <c r="AE87" s="136"/>
    </row>
    <row r="88" spans="2:31" ht="15" customHeight="1">
      <c r="B88" s="68"/>
      <c r="C88" s="68"/>
      <c r="D88" s="68"/>
      <c r="E88" s="68"/>
      <c r="F88" s="68"/>
      <c r="G88" s="68"/>
      <c r="H88" s="68"/>
      <c r="I88" s="68"/>
      <c r="J88" s="68"/>
      <c r="K88" s="68"/>
      <c r="L88" s="68"/>
      <c r="M88" s="131"/>
      <c r="N88" s="68"/>
      <c r="O88" s="68"/>
      <c r="P88" s="68"/>
      <c r="Q88" s="68"/>
      <c r="R88" s="68"/>
      <c r="S88" s="68"/>
      <c r="T88" s="68"/>
      <c r="U88" s="68"/>
      <c r="V88" s="68"/>
      <c r="W88" s="68"/>
      <c r="X88" s="68"/>
      <c r="Y88" s="136"/>
      <c r="Z88" s="136"/>
      <c r="AA88" s="136"/>
      <c r="AB88" s="136"/>
      <c r="AC88" s="136"/>
      <c r="AD88" s="136"/>
      <c r="AE88" s="136"/>
    </row>
    <row r="89" spans="2:31" ht="15" customHeight="1">
      <c r="B89" s="68"/>
      <c r="C89" s="68"/>
      <c r="D89" s="68"/>
      <c r="E89" s="68"/>
      <c r="F89" s="68"/>
      <c r="G89" s="68"/>
      <c r="H89" s="68"/>
      <c r="I89" s="68"/>
      <c r="J89" s="68"/>
      <c r="K89" s="68"/>
      <c r="L89" s="68"/>
      <c r="M89" s="131"/>
      <c r="N89" s="68"/>
      <c r="O89" s="68"/>
      <c r="P89" s="68"/>
      <c r="Q89" s="68"/>
      <c r="R89" s="68"/>
      <c r="S89" s="68"/>
      <c r="T89" s="68"/>
      <c r="U89" s="68"/>
      <c r="V89" s="68"/>
      <c r="W89" s="68"/>
      <c r="X89" s="68"/>
      <c r="Y89" s="136"/>
      <c r="Z89" s="136"/>
      <c r="AA89" s="136"/>
      <c r="AB89" s="136"/>
      <c r="AC89" s="136"/>
      <c r="AD89" s="136"/>
      <c r="AE89" s="136"/>
    </row>
    <row r="90" spans="2:31" ht="15" customHeight="1">
      <c r="B90" s="68"/>
      <c r="C90" s="68"/>
      <c r="D90" s="68"/>
      <c r="E90" s="68"/>
      <c r="F90" s="68"/>
      <c r="G90" s="68"/>
      <c r="H90" s="68"/>
      <c r="I90" s="68"/>
      <c r="J90" s="68"/>
      <c r="K90" s="68"/>
      <c r="L90" s="68"/>
      <c r="M90" s="131"/>
      <c r="N90" s="68"/>
      <c r="O90" s="68"/>
      <c r="P90" s="68"/>
      <c r="Q90" s="68"/>
      <c r="R90" s="68"/>
      <c r="S90" s="68"/>
      <c r="T90" s="68"/>
      <c r="U90" s="68"/>
      <c r="V90" s="68"/>
      <c r="W90" s="68"/>
      <c r="X90" s="68"/>
      <c r="Y90" s="136"/>
      <c r="Z90" s="136"/>
      <c r="AA90" s="136"/>
      <c r="AB90" s="136"/>
      <c r="AC90" s="136"/>
      <c r="AD90" s="136"/>
      <c r="AE90" s="136"/>
    </row>
    <row r="91" spans="2:31" ht="15" customHeight="1">
      <c r="B91" s="68"/>
      <c r="C91" s="68"/>
      <c r="D91" s="68"/>
      <c r="E91" s="68"/>
      <c r="F91" s="68"/>
      <c r="G91" s="68"/>
      <c r="H91" s="68"/>
      <c r="I91" s="68"/>
      <c r="J91" s="68"/>
      <c r="K91" s="68"/>
      <c r="L91" s="68"/>
      <c r="M91" s="131"/>
      <c r="N91" s="68"/>
      <c r="O91" s="68"/>
      <c r="P91" s="68"/>
      <c r="Q91" s="68"/>
      <c r="R91" s="68"/>
      <c r="S91" s="68"/>
      <c r="T91" s="68"/>
      <c r="U91" s="68"/>
      <c r="V91" s="68"/>
      <c r="W91" s="68"/>
      <c r="X91" s="68"/>
      <c r="Y91" s="136"/>
      <c r="Z91" s="136"/>
      <c r="AA91" s="136"/>
      <c r="AB91" s="136"/>
      <c r="AC91" s="136"/>
      <c r="AD91" s="136"/>
      <c r="AE91" s="136"/>
    </row>
    <row r="92" spans="2:31" ht="15" customHeight="1">
      <c r="B92" s="68"/>
      <c r="C92" s="68"/>
      <c r="D92" s="68"/>
      <c r="E92" s="68"/>
      <c r="F92" s="68"/>
      <c r="G92" s="68"/>
      <c r="H92" s="68"/>
      <c r="I92" s="68"/>
      <c r="J92" s="68"/>
      <c r="K92" s="68"/>
      <c r="L92" s="68"/>
      <c r="M92" s="131"/>
      <c r="N92" s="68"/>
      <c r="O92" s="68"/>
      <c r="P92" s="68"/>
      <c r="Q92" s="68"/>
      <c r="R92" s="68"/>
      <c r="S92" s="68"/>
      <c r="T92" s="68"/>
      <c r="U92" s="68"/>
      <c r="V92" s="68"/>
      <c r="W92" s="68"/>
      <c r="X92" s="68"/>
      <c r="Y92" s="136"/>
      <c r="Z92" s="136"/>
      <c r="AA92" s="136"/>
      <c r="AB92" s="136"/>
      <c r="AC92" s="136"/>
      <c r="AD92" s="136"/>
      <c r="AE92" s="136"/>
    </row>
    <row r="93" spans="2:31" ht="15" customHeight="1">
      <c r="B93" s="68"/>
      <c r="C93" s="68"/>
      <c r="D93" s="68"/>
      <c r="E93" s="68"/>
      <c r="F93" s="68"/>
      <c r="G93" s="68"/>
      <c r="H93" s="68"/>
      <c r="I93" s="68"/>
      <c r="J93" s="68"/>
      <c r="K93" s="68"/>
      <c r="L93" s="68"/>
      <c r="M93" s="131"/>
      <c r="N93" s="68"/>
      <c r="O93" s="68"/>
      <c r="P93" s="68"/>
      <c r="Q93" s="68"/>
      <c r="R93" s="68"/>
      <c r="S93" s="68"/>
      <c r="T93" s="68"/>
      <c r="U93" s="68"/>
      <c r="V93" s="68"/>
      <c r="W93" s="68"/>
      <c r="X93" s="68"/>
      <c r="Y93" s="136"/>
      <c r="Z93" s="136"/>
      <c r="AA93" s="136"/>
      <c r="AB93" s="136"/>
      <c r="AC93" s="136"/>
      <c r="AD93" s="136"/>
      <c r="AE93" s="136"/>
    </row>
    <row r="94" spans="2:31" ht="15" customHeight="1">
      <c r="B94" s="68"/>
      <c r="C94" s="68"/>
      <c r="D94" s="68"/>
      <c r="E94" s="68"/>
      <c r="F94" s="68"/>
      <c r="G94" s="68"/>
      <c r="H94" s="68"/>
      <c r="I94" s="68"/>
      <c r="J94" s="68"/>
      <c r="K94" s="68"/>
      <c r="L94" s="68"/>
      <c r="M94" s="131"/>
      <c r="N94" s="68"/>
      <c r="O94" s="68"/>
      <c r="P94" s="68"/>
      <c r="Q94" s="68"/>
      <c r="R94" s="68"/>
      <c r="S94" s="68"/>
      <c r="T94" s="68"/>
      <c r="U94" s="68"/>
      <c r="V94" s="68"/>
      <c r="W94" s="68"/>
      <c r="X94" s="68"/>
      <c r="Y94" s="136"/>
      <c r="Z94" s="136"/>
      <c r="AA94" s="136"/>
      <c r="AB94" s="136"/>
      <c r="AC94" s="136"/>
      <c r="AD94" s="136"/>
      <c r="AE94" s="136"/>
    </row>
    <row r="95" spans="2:31" ht="15" customHeight="1">
      <c r="B95" s="68"/>
      <c r="C95" s="68"/>
      <c r="D95" s="68"/>
      <c r="E95" s="68"/>
      <c r="F95" s="68"/>
      <c r="G95" s="68"/>
      <c r="H95" s="68"/>
      <c r="I95" s="68"/>
      <c r="J95" s="68"/>
      <c r="K95" s="68"/>
      <c r="L95" s="68"/>
      <c r="M95" s="131"/>
      <c r="N95" s="68"/>
      <c r="O95" s="68"/>
      <c r="P95" s="68"/>
      <c r="Q95" s="68"/>
      <c r="R95" s="68"/>
      <c r="S95" s="68"/>
      <c r="T95" s="68"/>
      <c r="U95" s="68"/>
      <c r="V95" s="68"/>
      <c r="W95" s="68"/>
      <c r="X95" s="68"/>
      <c r="Y95" s="136"/>
      <c r="Z95" s="136"/>
      <c r="AA95" s="136"/>
      <c r="AB95" s="136"/>
      <c r="AC95" s="136"/>
      <c r="AD95" s="136"/>
      <c r="AE95" s="136"/>
    </row>
    <row r="96" spans="2:31" ht="15" customHeight="1">
      <c r="B96" s="68"/>
      <c r="C96" s="68"/>
      <c r="D96" s="68"/>
      <c r="E96" s="68"/>
      <c r="F96" s="68"/>
      <c r="G96" s="68"/>
      <c r="H96" s="68"/>
      <c r="I96" s="68"/>
      <c r="J96" s="68"/>
      <c r="K96" s="68"/>
      <c r="L96" s="68"/>
      <c r="M96" s="131"/>
      <c r="N96" s="68"/>
      <c r="O96" s="68"/>
      <c r="P96" s="68"/>
      <c r="Q96" s="68"/>
      <c r="R96" s="68"/>
      <c r="S96" s="68"/>
      <c r="T96" s="68"/>
      <c r="U96" s="68"/>
      <c r="V96" s="68"/>
      <c r="W96" s="68"/>
      <c r="X96" s="68"/>
      <c r="Y96" s="136"/>
      <c r="Z96" s="136"/>
      <c r="AA96" s="136"/>
      <c r="AB96" s="136"/>
      <c r="AC96" s="136"/>
      <c r="AD96" s="136"/>
      <c r="AE96" s="136"/>
    </row>
    <row r="97" spans="2:31" ht="15" customHeight="1">
      <c r="B97" s="68"/>
      <c r="C97" s="68"/>
      <c r="D97" s="68"/>
      <c r="E97" s="68"/>
      <c r="F97" s="68"/>
      <c r="G97" s="68"/>
      <c r="H97" s="68"/>
      <c r="I97" s="68"/>
      <c r="J97" s="68"/>
      <c r="K97" s="68"/>
      <c r="L97" s="68"/>
      <c r="M97" s="131"/>
      <c r="N97" s="68"/>
      <c r="O97" s="68"/>
      <c r="P97" s="68"/>
      <c r="Q97" s="68"/>
      <c r="R97" s="68"/>
      <c r="S97" s="68"/>
      <c r="T97" s="68"/>
      <c r="U97" s="68"/>
      <c r="V97" s="68"/>
      <c r="W97" s="68"/>
      <c r="X97" s="68"/>
      <c r="Y97" s="136"/>
      <c r="Z97" s="136"/>
      <c r="AA97" s="136"/>
      <c r="AB97" s="136"/>
      <c r="AC97" s="136"/>
      <c r="AD97" s="136"/>
      <c r="AE97" s="136"/>
    </row>
    <row r="98" spans="2:31" ht="15.75" customHeight="1">
      <c r="B98" s="68"/>
      <c r="C98" s="68"/>
      <c r="D98" s="68"/>
      <c r="E98" s="68"/>
      <c r="F98" s="68"/>
      <c r="G98" s="68"/>
      <c r="H98" s="68"/>
      <c r="I98" s="68"/>
      <c r="J98" s="68"/>
      <c r="K98" s="68"/>
      <c r="L98" s="68"/>
      <c r="M98" s="131"/>
      <c r="N98" s="68"/>
      <c r="O98" s="68"/>
      <c r="P98" s="68"/>
      <c r="Q98" s="68"/>
      <c r="R98" s="68"/>
      <c r="S98" s="68"/>
      <c r="T98" s="68"/>
      <c r="U98" s="64"/>
      <c r="V98" s="64"/>
      <c r="W98" s="64"/>
      <c r="X98" s="64"/>
      <c r="Y98" s="137"/>
      <c r="Z98" s="137"/>
      <c r="AA98" s="137"/>
      <c r="AB98" s="137"/>
      <c r="AC98" s="137"/>
    </row>
    <row r="99" spans="2:31" ht="15.75" customHeight="1">
      <c r="B99" s="68"/>
      <c r="C99" s="68"/>
      <c r="D99" s="68"/>
      <c r="E99" s="68"/>
      <c r="F99" s="68"/>
      <c r="G99" s="68"/>
      <c r="H99" s="68"/>
      <c r="I99" s="68"/>
      <c r="J99" s="68"/>
      <c r="K99" s="68"/>
      <c r="L99" s="68"/>
      <c r="M99" s="131"/>
      <c r="N99" s="68"/>
      <c r="O99" s="68"/>
      <c r="P99" s="68"/>
      <c r="Q99" s="68"/>
      <c r="R99" s="68"/>
      <c r="S99" s="68"/>
      <c r="T99" s="68"/>
      <c r="U99" s="64"/>
      <c r="V99" s="64"/>
      <c r="W99" s="64"/>
      <c r="X99" s="64"/>
      <c r="Y99" s="137"/>
      <c r="Z99" s="137"/>
      <c r="AA99" s="137"/>
      <c r="AB99" s="137"/>
      <c r="AC99" s="137"/>
    </row>
    <row r="100" spans="2:31" ht="15.75" customHeight="1">
      <c r="B100" s="68"/>
      <c r="C100" s="68"/>
      <c r="D100" s="68"/>
      <c r="E100" s="68"/>
      <c r="F100" s="68"/>
      <c r="G100" s="68"/>
      <c r="H100" s="68"/>
      <c r="I100" s="68"/>
      <c r="J100" s="68"/>
      <c r="K100" s="68"/>
      <c r="L100" s="68"/>
      <c r="M100" s="131"/>
      <c r="N100" s="68"/>
      <c r="O100" s="68"/>
      <c r="P100" s="68"/>
      <c r="Q100" s="68"/>
      <c r="R100" s="68"/>
      <c r="S100" s="68"/>
      <c r="T100" s="68"/>
      <c r="U100" s="64"/>
      <c r="V100" s="64"/>
      <c r="W100" s="64"/>
      <c r="X100" s="64"/>
      <c r="Y100" s="137"/>
      <c r="Z100" s="137"/>
      <c r="AA100" s="137"/>
      <c r="AB100" s="137"/>
      <c r="AC100" s="137"/>
    </row>
    <row r="101" spans="2:31" ht="15.75" customHeight="1">
      <c r="B101" s="68"/>
      <c r="C101" s="68"/>
      <c r="D101" s="68"/>
      <c r="E101" s="68"/>
      <c r="F101" s="68"/>
      <c r="G101" s="68"/>
      <c r="H101" s="68"/>
      <c r="I101" s="68"/>
      <c r="J101" s="68"/>
      <c r="K101" s="68"/>
      <c r="L101" s="68"/>
      <c r="M101" s="131"/>
      <c r="N101" s="68"/>
      <c r="O101" s="68"/>
      <c r="P101" s="68"/>
      <c r="Q101" s="68"/>
      <c r="R101" s="68"/>
      <c r="S101" s="68"/>
      <c r="T101" s="68"/>
      <c r="U101" s="64"/>
      <c r="V101" s="64"/>
      <c r="W101" s="64"/>
      <c r="X101" s="64"/>
      <c r="Y101" s="137"/>
      <c r="Z101" s="137"/>
      <c r="AA101" s="137"/>
      <c r="AB101" s="137"/>
      <c r="AC101" s="137"/>
    </row>
    <row r="102" spans="2:31" ht="15.75" customHeight="1">
      <c r="B102" s="68"/>
      <c r="C102" s="68"/>
      <c r="D102" s="68"/>
      <c r="E102" s="68"/>
      <c r="F102" s="68"/>
      <c r="G102" s="68"/>
      <c r="H102" s="68"/>
      <c r="I102" s="68"/>
      <c r="J102" s="68"/>
      <c r="K102" s="68"/>
      <c r="L102" s="68"/>
      <c r="M102" s="131"/>
      <c r="N102" s="68"/>
      <c r="O102" s="68"/>
      <c r="P102" s="68"/>
      <c r="Q102" s="68"/>
      <c r="R102" s="68"/>
      <c r="S102" s="68"/>
      <c r="T102" s="68"/>
      <c r="U102" s="64"/>
      <c r="V102" s="64"/>
      <c r="W102" s="64"/>
      <c r="X102" s="64"/>
      <c r="Y102" s="137"/>
      <c r="Z102" s="137"/>
      <c r="AA102" s="137"/>
      <c r="AB102" s="137"/>
      <c r="AC102" s="137"/>
    </row>
    <row r="103" spans="2:31" ht="15.75" customHeight="1">
      <c r="B103" s="68"/>
      <c r="C103" s="68"/>
      <c r="D103" s="68"/>
      <c r="E103" s="68"/>
      <c r="F103" s="68"/>
      <c r="G103" s="68"/>
      <c r="H103" s="68"/>
      <c r="I103" s="68"/>
      <c r="J103" s="68"/>
      <c r="K103" s="68"/>
      <c r="L103" s="68"/>
      <c r="M103" s="131"/>
      <c r="N103" s="68"/>
      <c r="O103" s="68"/>
      <c r="P103" s="68"/>
      <c r="Q103" s="68"/>
      <c r="R103" s="68"/>
      <c r="S103" s="68"/>
      <c r="T103" s="68"/>
      <c r="U103" s="64"/>
      <c r="V103" s="64"/>
      <c r="W103" s="64"/>
      <c r="X103" s="64"/>
      <c r="Y103" s="137"/>
      <c r="Z103" s="137"/>
      <c r="AA103" s="137"/>
      <c r="AB103" s="137"/>
      <c r="AC103" s="137"/>
    </row>
    <row r="104" spans="2:31" ht="15.75" customHeight="1">
      <c r="B104" s="68"/>
      <c r="C104" s="68"/>
      <c r="D104" s="68"/>
      <c r="E104" s="68"/>
      <c r="F104" s="68"/>
      <c r="G104" s="68"/>
      <c r="H104" s="68"/>
      <c r="I104" s="68"/>
      <c r="J104" s="68"/>
      <c r="K104" s="68"/>
      <c r="L104" s="68"/>
      <c r="M104" s="131"/>
      <c r="N104" s="68"/>
      <c r="O104" s="68"/>
      <c r="P104" s="68"/>
      <c r="Q104" s="68"/>
      <c r="R104" s="68"/>
      <c r="S104" s="68"/>
      <c r="T104" s="68"/>
      <c r="U104" s="64"/>
      <c r="V104" s="64"/>
      <c r="W104" s="64"/>
      <c r="X104" s="64"/>
      <c r="Y104" s="137"/>
      <c r="Z104" s="137"/>
      <c r="AA104" s="137"/>
      <c r="AB104" s="137"/>
      <c r="AC104" s="137"/>
    </row>
    <row r="105" spans="2:31" ht="15.75" customHeight="1">
      <c r="B105" s="68"/>
      <c r="C105" s="68"/>
      <c r="D105" s="68"/>
      <c r="E105" s="68"/>
      <c r="F105" s="68"/>
      <c r="G105" s="68"/>
      <c r="H105" s="68"/>
      <c r="I105" s="68"/>
      <c r="J105" s="68"/>
      <c r="K105" s="68"/>
      <c r="L105" s="68"/>
      <c r="M105" s="131"/>
      <c r="N105" s="68"/>
      <c r="O105" s="68"/>
      <c r="P105" s="68"/>
      <c r="Q105" s="68"/>
      <c r="R105" s="68"/>
      <c r="S105" s="68"/>
      <c r="T105" s="68"/>
      <c r="U105" s="64"/>
      <c r="V105" s="64"/>
      <c r="W105" s="64"/>
      <c r="X105" s="64"/>
      <c r="Y105" s="137"/>
      <c r="Z105" s="137"/>
      <c r="AA105" s="137"/>
      <c r="AB105" s="137"/>
      <c r="AC105" s="137"/>
    </row>
    <row r="106" spans="2:31" ht="15.75" customHeight="1">
      <c r="B106" s="68"/>
      <c r="C106" s="68"/>
      <c r="D106" s="68"/>
      <c r="E106" s="68"/>
      <c r="F106" s="68"/>
      <c r="G106" s="68"/>
      <c r="H106" s="68"/>
      <c r="I106" s="68"/>
      <c r="J106" s="68"/>
      <c r="K106" s="68"/>
      <c r="L106" s="68"/>
      <c r="M106" s="131"/>
      <c r="N106" s="68"/>
      <c r="O106" s="68"/>
      <c r="P106" s="68"/>
      <c r="Q106" s="68"/>
      <c r="R106" s="68"/>
      <c r="S106" s="68"/>
      <c r="T106" s="68"/>
      <c r="U106" s="64"/>
      <c r="V106" s="64"/>
      <c r="W106" s="64"/>
      <c r="X106" s="64"/>
      <c r="Y106" s="137"/>
      <c r="Z106" s="137"/>
      <c r="AA106" s="137"/>
      <c r="AB106" s="137"/>
      <c r="AC106" s="137"/>
    </row>
    <row r="107" spans="2:31" ht="15.75" customHeight="1">
      <c r="B107" s="68"/>
      <c r="C107" s="68"/>
      <c r="D107" s="68"/>
      <c r="E107" s="68"/>
      <c r="F107" s="68"/>
      <c r="G107" s="68"/>
      <c r="H107" s="68"/>
      <c r="I107" s="68"/>
      <c r="J107" s="68"/>
      <c r="K107" s="68"/>
      <c r="L107" s="68"/>
      <c r="M107" s="131"/>
      <c r="N107" s="68"/>
      <c r="O107" s="68"/>
      <c r="P107" s="68"/>
      <c r="Q107" s="68"/>
      <c r="R107" s="68"/>
      <c r="S107" s="68"/>
      <c r="T107" s="68"/>
      <c r="U107" s="64"/>
      <c r="V107" s="64"/>
      <c r="W107" s="64"/>
      <c r="X107" s="64"/>
      <c r="Y107" s="137"/>
      <c r="Z107" s="137"/>
      <c r="AA107" s="137"/>
      <c r="AB107" s="137"/>
      <c r="AC107" s="137"/>
    </row>
    <row r="108" spans="2:31" ht="15.75" customHeight="1">
      <c r="B108" s="68"/>
      <c r="C108" s="68"/>
      <c r="D108" s="68"/>
      <c r="E108" s="68"/>
      <c r="F108" s="68"/>
      <c r="G108" s="68"/>
      <c r="H108" s="68"/>
      <c r="I108" s="68"/>
      <c r="J108" s="68"/>
      <c r="K108" s="68"/>
      <c r="L108" s="68"/>
      <c r="M108" s="131"/>
      <c r="N108" s="68"/>
      <c r="O108" s="68"/>
      <c r="P108" s="68"/>
      <c r="Q108" s="68"/>
      <c r="R108" s="68"/>
      <c r="S108" s="68"/>
      <c r="T108" s="68"/>
      <c r="U108" s="64"/>
      <c r="V108" s="64"/>
      <c r="W108" s="64"/>
      <c r="X108" s="64"/>
      <c r="Y108" s="137"/>
      <c r="Z108" s="137"/>
      <c r="AA108" s="137"/>
      <c r="AB108" s="137"/>
      <c r="AC108" s="137"/>
    </row>
    <row r="109" spans="2:31" ht="15.75" customHeight="1">
      <c r="B109" s="68"/>
      <c r="C109" s="68"/>
      <c r="D109" s="68"/>
      <c r="E109" s="68"/>
      <c r="F109" s="68"/>
      <c r="G109" s="68"/>
      <c r="H109" s="68"/>
      <c r="I109" s="68"/>
      <c r="J109" s="68"/>
      <c r="K109" s="68"/>
      <c r="L109" s="68"/>
      <c r="M109" s="131"/>
      <c r="N109" s="68"/>
      <c r="O109" s="68"/>
      <c r="P109" s="68"/>
      <c r="Q109" s="68"/>
      <c r="R109" s="68"/>
      <c r="S109" s="68"/>
      <c r="T109" s="68"/>
      <c r="U109" s="64"/>
      <c r="V109" s="64"/>
      <c r="W109" s="64"/>
      <c r="X109" s="64"/>
      <c r="Y109" s="137"/>
      <c r="Z109" s="137"/>
      <c r="AA109" s="137"/>
      <c r="AB109" s="137"/>
      <c r="AC109" s="137"/>
    </row>
    <row r="110" spans="2:31" ht="15.75" customHeight="1">
      <c r="B110" s="68"/>
      <c r="C110" s="68"/>
      <c r="D110" s="68"/>
      <c r="E110" s="68"/>
      <c r="F110" s="68"/>
      <c r="G110" s="68"/>
      <c r="H110" s="68"/>
      <c r="I110" s="68"/>
      <c r="J110" s="68"/>
      <c r="K110" s="68"/>
      <c r="L110" s="68"/>
      <c r="M110" s="131"/>
      <c r="N110" s="68"/>
      <c r="O110" s="68"/>
      <c r="P110" s="68"/>
      <c r="Q110" s="68"/>
      <c r="R110" s="68"/>
      <c r="S110" s="68"/>
      <c r="T110" s="68"/>
      <c r="U110" s="64"/>
      <c r="V110" s="64"/>
      <c r="W110" s="64"/>
      <c r="X110" s="64"/>
      <c r="Y110" s="137"/>
      <c r="Z110" s="137"/>
      <c r="AA110" s="137"/>
      <c r="AB110" s="137"/>
      <c r="AC110" s="137"/>
    </row>
    <row r="111" spans="2:31" ht="15.75" customHeight="1">
      <c r="B111" s="68"/>
      <c r="C111" s="68"/>
      <c r="D111" s="68"/>
      <c r="E111" s="68"/>
      <c r="F111" s="68"/>
      <c r="G111" s="68"/>
      <c r="H111" s="68"/>
      <c r="I111" s="68"/>
      <c r="J111" s="68"/>
      <c r="K111" s="68"/>
      <c r="L111" s="68"/>
      <c r="M111" s="131"/>
      <c r="N111" s="68"/>
      <c r="O111" s="68"/>
      <c r="P111" s="68"/>
      <c r="Q111" s="68"/>
      <c r="R111" s="68"/>
      <c r="S111" s="68"/>
      <c r="T111" s="68"/>
      <c r="U111" s="64"/>
      <c r="V111" s="64"/>
      <c r="W111" s="64"/>
      <c r="X111" s="64"/>
      <c r="Y111" s="137"/>
      <c r="Z111" s="137"/>
      <c r="AA111" s="137"/>
      <c r="AB111" s="137"/>
      <c r="AC111" s="137"/>
    </row>
    <row r="112" spans="2:31" ht="15.75" customHeight="1">
      <c r="B112" s="68"/>
      <c r="C112" s="68"/>
      <c r="D112" s="68"/>
      <c r="E112" s="68"/>
      <c r="F112" s="68"/>
      <c r="G112" s="68"/>
      <c r="H112" s="68"/>
      <c r="I112" s="68"/>
      <c r="J112" s="68"/>
      <c r="K112" s="68"/>
      <c r="L112" s="68"/>
      <c r="M112" s="131"/>
      <c r="N112" s="68"/>
      <c r="O112" s="68"/>
      <c r="P112" s="68"/>
      <c r="Q112" s="68"/>
      <c r="R112" s="68"/>
      <c r="S112" s="68"/>
      <c r="T112" s="68"/>
      <c r="U112" s="64"/>
      <c r="V112" s="64"/>
      <c r="W112" s="64"/>
      <c r="X112" s="64"/>
      <c r="Y112" s="137"/>
      <c r="Z112" s="137"/>
      <c r="AA112" s="137"/>
      <c r="AB112" s="137"/>
      <c r="AC112" s="137"/>
    </row>
    <row r="113" spans="2:29" ht="15.75" customHeight="1">
      <c r="B113" s="68"/>
      <c r="C113" s="68"/>
      <c r="D113" s="68"/>
      <c r="E113" s="68"/>
      <c r="F113" s="68"/>
      <c r="G113" s="68"/>
      <c r="H113" s="68"/>
      <c r="I113" s="68"/>
      <c r="J113" s="68"/>
      <c r="K113" s="68"/>
      <c r="L113" s="68"/>
      <c r="M113" s="131"/>
      <c r="N113" s="68"/>
      <c r="O113" s="68"/>
      <c r="P113" s="68"/>
      <c r="Q113" s="68"/>
      <c r="R113" s="68"/>
      <c r="S113" s="68"/>
      <c r="T113" s="68"/>
      <c r="U113" s="64"/>
      <c r="V113" s="64"/>
      <c r="W113" s="64"/>
      <c r="X113" s="64"/>
      <c r="Y113" s="137"/>
      <c r="Z113" s="137"/>
      <c r="AA113" s="137"/>
      <c r="AB113" s="137"/>
      <c r="AC113" s="137"/>
    </row>
    <row r="114" spans="2:29" ht="15.75" customHeight="1">
      <c r="B114" s="68"/>
      <c r="C114" s="68"/>
      <c r="D114" s="68"/>
      <c r="E114" s="68"/>
      <c r="F114" s="68"/>
      <c r="G114" s="68"/>
      <c r="H114" s="68"/>
      <c r="I114" s="68"/>
      <c r="J114" s="68"/>
      <c r="K114" s="68"/>
      <c r="L114" s="68"/>
      <c r="M114" s="131"/>
      <c r="N114" s="68"/>
      <c r="O114" s="68"/>
      <c r="P114" s="68"/>
      <c r="Q114" s="68"/>
      <c r="R114" s="68"/>
      <c r="S114" s="68"/>
      <c r="T114" s="68"/>
      <c r="U114" s="64"/>
      <c r="V114" s="64"/>
      <c r="W114" s="64"/>
      <c r="X114" s="64"/>
      <c r="Y114" s="137"/>
      <c r="Z114" s="137"/>
      <c r="AA114" s="137"/>
      <c r="AB114" s="137"/>
      <c r="AC114" s="137"/>
    </row>
    <row r="115" spans="2:29" ht="15.75" customHeight="1">
      <c r="B115" s="68"/>
      <c r="C115" s="68"/>
      <c r="D115" s="68"/>
      <c r="E115" s="68"/>
      <c r="F115" s="68"/>
      <c r="G115" s="68"/>
      <c r="H115" s="68"/>
      <c r="I115" s="68"/>
      <c r="J115" s="68"/>
      <c r="K115" s="68"/>
      <c r="L115" s="68"/>
      <c r="M115" s="131"/>
      <c r="N115" s="68"/>
      <c r="O115" s="68"/>
      <c r="P115" s="68"/>
      <c r="Q115" s="68"/>
      <c r="R115" s="68"/>
      <c r="S115" s="68"/>
      <c r="T115" s="68"/>
      <c r="U115" s="64"/>
      <c r="V115" s="64"/>
      <c r="W115" s="64"/>
      <c r="X115" s="64"/>
      <c r="Y115" s="137"/>
      <c r="Z115" s="137"/>
      <c r="AA115" s="137"/>
      <c r="AB115" s="137"/>
      <c r="AC115" s="137"/>
    </row>
    <row r="116" spans="2:29" ht="15.75" customHeight="1">
      <c r="B116" s="68"/>
      <c r="C116" s="68"/>
      <c r="D116" s="68"/>
      <c r="E116" s="68"/>
      <c r="F116" s="68"/>
      <c r="G116" s="68"/>
      <c r="H116" s="68"/>
      <c r="I116" s="68"/>
      <c r="J116" s="68"/>
      <c r="K116" s="68"/>
      <c r="L116" s="68"/>
      <c r="M116" s="131"/>
      <c r="N116" s="68"/>
      <c r="O116" s="68"/>
      <c r="P116" s="68"/>
      <c r="Q116" s="68"/>
      <c r="R116" s="68"/>
      <c r="S116" s="68"/>
      <c r="T116" s="68"/>
      <c r="U116" s="64"/>
      <c r="V116" s="64"/>
      <c r="W116" s="64"/>
      <c r="X116" s="64"/>
      <c r="Y116" s="137"/>
      <c r="Z116" s="137"/>
      <c r="AA116" s="137"/>
      <c r="AB116" s="137"/>
      <c r="AC116" s="137"/>
    </row>
    <row r="117" spans="2:29" ht="15.75" customHeight="1">
      <c r="B117" s="68"/>
      <c r="C117" s="68"/>
      <c r="D117" s="68"/>
      <c r="E117" s="68"/>
      <c r="F117" s="68"/>
      <c r="G117" s="68"/>
      <c r="H117" s="68"/>
      <c r="I117" s="68"/>
      <c r="J117" s="68"/>
      <c r="K117" s="68"/>
      <c r="L117" s="68"/>
      <c r="M117" s="131"/>
      <c r="N117" s="68"/>
      <c r="O117" s="68"/>
      <c r="P117" s="68"/>
      <c r="Q117" s="68"/>
      <c r="R117" s="68"/>
      <c r="S117" s="68"/>
      <c r="T117" s="68"/>
      <c r="U117" s="64"/>
      <c r="V117" s="64"/>
      <c r="W117" s="64"/>
      <c r="X117" s="64"/>
      <c r="Y117" s="137"/>
      <c r="Z117" s="137"/>
      <c r="AA117" s="137"/>
      <c r="AB117" s="137"/>
      <c r="AC117" s="137"/>
    </row>
    <row r="118" spans="2:29" ht="15.75" customHeight="1">
      <c r="B118" s="68"/>
      <c r="C118" s="68"/>
      <c r="D118" s="68"/>
      <c r="E118" s="68"/>
      <c r="F118" s="68"/>
      <c r="G118" s="68"/>
      <c r="H118" s="68"/>
      <c r="I118" s="68"/>
      <c r="J118" s="68"/>
      <c r="K118" s="68"/>
      <c r="L118" s="68"/>
      <c r="M118" s="131"/>
      <c r="N118" s="68"/>
      <c r="O118" s="68"/>
      <c r="P118" s="68"/>
      <c r="Q118" s="68"/>
      <c r="R118" s="68"/>
      <c r="S118" s="68"/>
      <c r="T118" s="68"/>
      <c r="U118" s="64"/>
      <c r="V118" s="64"/>
      <c r="W118" s="64"/>
      <c r="X118" s="64"/>
      <c r="Y118" s="137"/>
      <c r="Z118" s="137"/>
      <c r="AA118" s="137"/>
      <c r="AB118" s="137"/>
      <c r="AC118" s="137"/>
    </row>
    <row r="119" spans="2:29" ht="15.75" customHeight="1">
      <c r="B119" s="68"/>
      <c r="C119" s="68"/>
      <c r="D119" s="68"/>
      <c r="E119" s="68"/>
      <c r="F119" s="68"/>
      <c r="G119" s="68"/>
      <c r="H119" s="68"/>
      <c r="I119" s="68"/>
      <c r="J119" s="68"/>
      <c r="K119" s="68"/>
      <c r="L119" s="68"/>
      <c r="M119" s="131"/>
      <c r="N119" s="68"/>
      <c r="O119" s="68"/>
      <c r="P119" s="68"/>
      <c r="Q119" s="68"/>
      <c r="R119" s="68"/>
      <c r="S119" s="68"/>
      <c r="T119" s="68"/>
      <c r="U119" s="64"/>
      <c r="V119" s="64"/>
      <c r="W119" s="64"/>
      <c r="X119" s="64"/>
      <c r="Y119" s="137"/>
      <c r="Z119" s="137"/>
      <c r="AA119" s="137"/>
      <c r="AB119" s="137"/>
      <c r="AC119" s="137"/>
    </row>
    <row r="120" spans="2:29" ht="15.75" customHeight="1">
      <c r="B120" s="68"/>
      <c r="C120" s="68"/>
      <c r="D120" s="68"/>
      <c r="E120" s="68"/>
      <c r="F120" s="68"/>
      <c r="G120" s="68"/>
      <c r="H120" s="68"/>
      <c r="I120" s="68"/>
      <c r="J120" s="68"/>
      <c r="K120" s="68"/>
      <c r="L120" s="68"/>
      <c r="M120" s="131"/>
      <c r="N120" s="68"/>
      <c r="O120" s="68"/>
      <c r="P120" s="68"/>
      <c r="Q120" s="68"/>
      <c r="R120" s="68"/>
      <c r="S120" s="68"/>
      <c r="T120" s="68"/>
      <c r="U120" s="64"/>
      <c r="V120" s="64"/>
      <c r="W120" s="64"/>
      <c r="X120" s="64"/>
      <c r="Y120" s="137"/>
      <c r="Z120" s="137"/>
      <c r="AA120" s="137"/>
      <c r="AB120" s="137"/>
      <c r="AC120" s="137"/>
    </row>
    <row r="121" spans="2:29" ht="15.75" customHeight="1">
      <c r="B121" s="68"/>
      <c r="C121" s="68"/>
      <c r="D121" s="68"/>
      <c r="E121" s="68"/>
      <c r="F121" s="68"/>
      <c r="G121" s="68"/>
      <c r="H121" s="68"/>
      <c r="I121" s="68"/>
      <c r="J121" s="68"/>
      <c r="K121" s="68"/>
      <c r="L121" s="68"/>
      <c r="M121" s="131"/>
      <c r="N121" s="68"/>
      <c r="O121" s="68"/>
      <c r="P121" s="68"/>
      <c r="Q121" s="68"/>
      <c r="R121" s="68"/>
      <c r="S121" s="68"/>
      <c r="T121" s="68"/>
      <c r="U121" s="64"/>
      <c r="V121" s="64"/>
      <c r="W121" s="64"/>
      <c r="X121" s="64"/>
      <c r="Y121" s="137"/>
      <c r="Z121" s="137"/>
      <c r="AA121" s="137"/>
      <c r="AB121" s="137"/>
      <c r="AC121" s="137"/>
    </row>
    <row r="122" spans="2:29" ht="15.75" customHeight="1">
      <c r="B122" s="68"/>
      <c r="C122" s="68"/>
      <c r="D122" s="68"/>
      <c r="E122" s="68"/>
      <c r="F122" s="68"/>
      <c r="G122" s="68"/>
      <c r="H122" s="68"/>
      <c r="I122" s="68"/>
      <c r="J122" s="68"/>
      <c r="K122" s="68"/>
      <c r="L122" s="68"/>
      <c r="M122" s="131"/>
      <c r="N122" s="68"/>
      <c r="O122" s="68"/>
      <c r="P122" s="68"/>
      <c r="Q122" s="68"/>
      <c r="R122" s="68"/>
      <c r="S122" s="68"/>
      <c r="T122" s="68"/>
      <c r="U122" s="64"/>
      <c r="V122" s="64"/>
      <c r="W122" s="64"/>
      <c r="X122" s="64"/>
      <c r="Y122" s="137"/>
      <c r="Z122" s="137"/>
      <c r="AA122" s="137"/>
      <c r="AB122" s="137"/>
      <c r="AC122" s="137"/>
    </row>
    <row r="123" spans="2:29" ht="15.75" customHeight="1">
      <c r="B123" s="68"/>
      <c r="C123" s="68"/>
      <c r="D123" s="68"/>
      <c r="E123" s="68"/>
      <c r="F123" s="68"/>
      <c r="G123" s="68"/>
      <c r="H123" s="68"/>
      <c r="I123" s="68"/>
      <c r="J123" s="68"/>
      <c r="K123" s="68"/>
      <c r="L123" s="68"/>
      <c r="M123" s="131"/>
      <c r="N123" s="68"/>
      <c r="O123" s="68"/>
      <c r="P123" s="68"/>
      <c r="Q123" s="68"/>
      <c r="R123" s="68"/>
      <c r="S123" s="68"/>
      <c r="T123" s="68"/>
      <c r="U123" s="64"/>
      <c r="V123" s="64"/>
      <c r="W123" s="64"/>
      <c r="X123" s="64"/>
      <c r="Y123" s="137"/>
      <c r="Z123" s="137"/>
      <c r="AA123" s="137"/>
      <c r="AB123" s="137"/>
      <c r="AC123" s="137"/>
    </row>
    <row r="124" spans="2:29" ht="15.75" customHeight="1">
      <c r="B124" s="68"/>
      <c r="C124" s="68"/>
      <c r="D124" s="63"/>
      <c r="E124" s="63"/>
      <c r="F124" s="63"/>
      <c r="G124" s="63"/>
      <c r="H124" s="63"/>
      <c r="I124" s="63"/>
      <c r="J124" s="63"/>
      <c r="K124" s="63"/>
      <c r="L124" s="63"/>
      <c r="M124" s="168"/>
      <c r="N124" s="63"/>
      <c r="O124" s="64"/>
      <c r="P124" s="64"/>
      <c r="Q124" s="64"/>
      <c r="R124" s="64"/>
      <c r="S124" s="64"/>
      <c r="T124" s="64"/>
      <c r="U124" s="64"/>
      <c r="V124" s="64"/>
      <c r="W124" s="64"/>
      <c r="X124" s="64"/>
      <c r="Y124" s="137"/>
      <c r="Z124" s="137"/>
      <c r="AA124" s="137"/>
      <c r="AB124" s="137"/>
      <c r="AC124" s="137"/>
    </row>
    <row r="125" spans="2:29" ht="15.75" customHeight="1">
      <c r="B125" s="68"/>
      <c r="C125" s="68"/>
      <c r="D125" s="63"/>
      <c r="E125" s="63"/>
      <c r="F125" s="63"/>
      <c r="G125" s="63"/>
      <c r="H125" s="63"/>
      <c r="I125" s="63"/>
      <c r="J125" s="63"/>
      <c r="K125" s="63"/>
      <c r="L125" s="63"/>
      <c r="M125" s="168"/>
      <c r="N125" s="63"/>
      <c r="O125" s="64"/>
      <c r="P125" s="64"/>
      <c r="Q125" s="64"/>
      <c r="R125" s="64"/>
      <c r="S125" s="64"/>
      <c r="T125" s="64"/>
      <c r="U125" s="64"/>
      <c r="V125" s="64"/>
      <c r="W125" s="64"/>
      <c r="X125" s="64"/>
      <c r="Y125" s="137"/>
      <c r="Z125" s="137"/>
      <c r="AA125" s="137"/>
      <c r="AB125" s="137"/>
      <c r="AC125" s="137"/>
    </row>
    <row r="126" spans="2:29" ht="15.75" customHeight="1">
      <c r="B126" s="68"/>
      <c r="C126" s="68"/>
      <c r="D126" s="63"/>
      <c r="E126" s="63"/>
      <c r="F126" s="63"/>
      <c r="G126" s="63"/>
      <c r="H126" s="63"/>
      <c r="I126" s="63"/>
      <c r="J126" s="63"/>
      <c r="K126" s="63"/>
      <c r="L126" s="63"/>
      <c r="M126" s="168"/>
      <c r="N126" s="63"/>
      <c r="O126" s="64"/>
      <c r="P126" s="64"/>
      <c r="Q126" s="64"/>
      <c r="R126" s="64"/>
      <c r="S126" s="64"/>
      <c r="T126" s="64"/>
      <c r="U126" s="64"/>
      <c r="V126" s="64"/>
      <c r="W126" s="64"/>
      <c r="X126" s="64"/>
      <c r="Y126" s="137"/>
      <c r="Z126" s="137"/>
      <c r="AA126" s="137"/>
      <c r="AB126" s="137"/>
      <c r="AC126" s="137"/>
    </row>
    <row r="127" spans="2:29" ht="15.75" customHeight="1">
      <c r="B127" s="68"/>
      <c r="C127" s="68"/>
      <c r="D127" s="63"/>
      <c r="E127" s="63"/>
      <c r="F127" s="63"/>
      <c r="G127" s="63"/>
      <c r="H127" s="63"/>
      <c r="I127" s="63"/>
      <c r="J127" s="63"/>
      <c r="K127" s="63"/>
      <c r="L127" s="63"/>
      <c r="M127" s="168"/>
      <c r="N127" s="63"/>
      <c r="O127" s="64"/>
      <c r="P127" s="64"/>
      <c r="Q127" s="64"/>
      <c r="R127" s="64"/>
      <c r="S127" s="64"/>
      <c r="T127" s="64"/>
      <c r="U127" s="64"/>
      <c r="V127" s="64"/>
      <c r="W127" s="64"/>
      <c r="X127" s="64"/>
      <c r="Y127" s="137"/>
      <c r="Z127" s="137"/>
      <c r="AA127" s="137"/>
      <c r="AB127" s="137"/>
      <c r="AC127" s="137"/>
    </row>
    <row r="128" spans="2:29" ht="15.75" customHeight="1">
      <c r="B128" s="68"/>
      <c r="C128" s="68"/>
      <c r="D128" s="63"/>
      <c r="E128" s="63"/>
      <c r="F128" s="63"/>
      <c r="G128" s="63"/>
      <c r="H128" s="63"/>
      <c r="I128" s="63"/>
      <c r="J128" s="63"/>
      <c r="K128" s="63"/>
      <c r="L128" s="63"/>
      <c r="M128" s="168"/>
      <c r="N128" s="63"/>
      <c r="O128" s="64"/>
      <c r="P128" s="64"/>
      <c r="Q128" s="64"/>
      <c r="R128" s="64"/>
      <c r="S128" s="64"/>
      <c r="T128" s="64"/>
      <c r="U128" s="64"/>
      <c r="V128" s="64"/>
      <c r="W128" s="64"/>
      <c r="X128" s="64"/>
      <c r="Y128" s="137"/>
      <c r="Z128" s="137"/>
      <c r="AA128" s="137"/>
      <c r="AB128" s="137"/>
      <c r="AC128" s="137"/>
    </row>
    <row r="129" spans="2:31" ht="15.75" customHeight="1">
      <c r="B129" s="68"/>
      <c r="C129" s="68"/>
      <c r="D129" s="63"/>
      <c r="E129" s="63"/>
      <c r="F129" s="63"/>
      <c r="G129" s="63"/>
      <c r="H129" s="63"/>
      <c r="I129" s="63"/>
      <c r="J129" s="63"/>
      <c r="K129" s="63"/>
      <c r="L129" s="63"/>
      <c r="M129" s="168"/>
      <c r="N129" s="63"/>
      <c r="O129" s="64"/>
      <c r="P129" s="64"/>
      <c r="Q129" s="64"/>
      <c r="R129" s="64"/>
      <c r="S129" s="64"/>
      <c r="T129" s="64"/>
      <c r="U129" s="64"/>
      <c r="V129" s="64"/>
      <c r="W129" s="64"/>
      <c r="X129" s="64"/>
      <c r="Y129" s="137"/>
      <c r="Z129" s="137"/>
      <c r="AA129" s="137"/>
      <c r="AB129" s="137"/>
      <c r="AC129" s="137"/>
    </row>
    <row r="130" spans="2:31" ht="15.75" customHeight="1">
      <c r="B130" s="68"/>
      <c r="C130" s="68"/>
      <c r="D130" s="63"/>
      <c r="E130" s="63"/>
      <c r="F130" s="63"/>
      <c r="G130" s="63"/>
      <c r="H130" s="63"/>
      <c r="I130" s="63"/>
      <c r="J130" s="63"/>
      <c r="K130" s="63"/>
      <c r="L130" s="63"/>
      <c r="M130" s="168"/>
      <c r="N130" s="63"/>
      <c r="O130" s="64"/>
      <c r="P130" s="64"/>
      <c r="Q130" s="64"/>
      <c r="R130" s="64"/>
      <c r="S130" s="64"/>
      <c r="T130" s="64"/>
      <c r="U130" s="64"/>
      <c r="V130" s="64"/>
      <c r="W130" s="64"/>
      <c r="X130" s="64"/>
      <c r="Y130" s="137"/>
      <c r="Z130" s="137"/>
      <c r="AA130" s="137"/>
      <c r="AB130" s="137"/>
      <c r="AC130" s="137"/>
    </row>
    <row r="131" spans="2:31" ht="15.75" customHeight="1">
      <c r="B131" s="68"/>
      <c r="C131" s="68"/>
      <c r="D131" s="63"/>
      <c r="E131" s="63"/>
      <c r="F131" s="63"/>
      <c r="G131" s="63"/>
      <c r="H131" s="63"/>
      <c r="I131" s="63"/>
      <c r="J131" s="63"/>
      <c r="K131" s="63"/>
      <c r="L131" s="63"/>
      <c r="M131" s="168"/>
      <c r="N131" s="63"/>
      <c r="O131" s="64"/>
      <c r="P131" s="64"/>
      <c r="Q131" s="64"/>
      <c r="R131" s="64"/>
      <c r="S131" s="64"/>
      <c r="T131" s="64"/>
      <c r="U131" s="64"/>
      <c r="V131" s="64"/>
      <c r="W131" s="64"/>
      <c r="X131" s="64"/>
      <c r="Y131" s="137"/>
      <c r="Z131" s="137"/>
      <c r="AA131" s="137"/>
      <c r="AB131" s="137"/>
      <c r="AC131" s="137"/>
      <c r="AE131" s="134">
        <v>1</v>
      </c>
    </row>
    <row r="132" spans="2:31" ht="15.75" customHeight="1">
      <c r="B132" s="68"/>
      <c r="C132" s="68"/>
      <c r="D132" s="63"/>
      <c r="E132" s="63"/>
      <c r="F132" s="63"/>
      <c r="G132" s="63"/>
      <c r="H132" s="63"/>
      <c r="I132" s="63"/>
      <c r="J132" s="63"/>
      <c r="K132" s="63"/>
      <c r="L132" s="63"/>
      <c r="M132" s="168"/>
      <c r="N132" s="63"/>
      <c r="O132" s="64"/>
      <c r="P132" s="64"/>
      <c r="Q132" s="64"/>
      <c r="R132" s="64"/>
      <c r="S132" s="64"/>
      <c r="T132" s="64"/>
      <c r="U132" s="64"/>
      <c r="V132" s="64"/>
      <c r="W132" s="64"/>
      <c r="X132" s="64"/>
      <c r="Y132" s="137"/>
      <c r="Z132" s="137"/>
      <c r="AA132" s="137"/>
      <c r="AB132" s="137"/>
      <c r="AC132" s="137"/>
    </row>
    <row r="133" spans="2:31" ht="15.75" customHeight="1">
      <c r="B133" s="68"/>
      <c r="C133" s="68"/>
      <c r="D133" s="63"/>
      <c r="E133" s="63"/>
      <c r="F133" s="63"/>
      <c r="G133" s="63"/>
      <c r="H133" s="63"/>
      <c r="I133" s="63"/>
      <c r="J133" s="63"/>
      <c r="K133" s="63"/>
      <c r="L133" s="63"/>
      <c r="M133" s="168"/>
      <c r="N133" s="63"/>
      <c r="O133" s="64"/>
      <c r="P133" s="64"/>
      <c r="Q133" s="64"/>
      <c r="R133" s="64"/>
      <c r="S133" s="64"/>
      <c r="T133" s="64"/>
      <c r="U133" s="64"/>
      <c r="V133" s="64"/>
      <c r="W133" s="64"/>
      <c r="X133" s="64"/>
      <c r="Y133" s="137"/>
      <c r="Z133" s="137"/>
      <c r="AA133" s="137"/>
      <c r="AB133" s="137"/>
      <c r="AC133" s="137"/>
    </row>
    <row r="134" spans="2:31" ht="15.75" customHeight="1">
      <c r="B134" s="68"/>
      <c r="C134" s="68"/>
      <c r="D134" s="63"/>
      <c r="E134" s="63"/>
      <c r="F134" s="63"/>
      <c r="G134" s="63"/>
      <c r="H134" s="63"/>
      <c r="I134" s="63"/>
      <c r="J134" s="63"/>
      <c r="K134" s="63"/>
      <c r="L134" s="63"/>
      <c r="M134" s="168"/>
      <c r="N134" s="63"/>
      <c r="O134" s="64"/>
      <c r="P134" s="64"/>
      <c r="Q134" s="64"/>
      <c r="R134" s="64"/>
      <c r="S134" s="64"/>
      <c r="T134" s="64"/>
      <c r="U134" s="64"/>
      <c r="V134" s="64"/>
      <c r="W134" s="64"/>
      <c r="X134" s="64"/>
      <c r="Y134" s="137"/>
      <c r="Z134" s="137"/>
      <c r="AA134" s="137"/>
      <c r="AB134" s="137"/>
      <c r="AC134" s="137"/>
    </row>
    <row r="135" spans="2:31" ht="15.75" customHeight="1">
      <c r="B135" s="68"/>
      <c r="C135" s="68"/>
      <c r="D135" s="63"/>
      <c r="E135" s="63"/>
      <c r="F135" s="63"/>
      <c r="G135" s="63"/>
      <c r="H135" s="63"/>
      <c r="I135" s="63"/>
      <c r="J135" s="63"/>
      <c r="K135" s="63"/>
      <c r="L135" s="63"/>
      <c r="M135" s="168"/>
      <c r="N135" s="63"/>
      <c r="O135" s="64"/>
      <c r="P135" s="64"/>
      <c r="Q135" s="64"/>
      <c r="R135" s="64"/>
      <c r="S135" s="64"/>
      <c r="T135" s="64"/>
      <c r="U135" s="64"/>
      <c r="V135" s="64"/>
      <c r="W135" s="64"/>
      <c r="X135" s="64"/>
      <c r="Y135" s="137"/>
      <c r="Z135" s="137"/>
      <c r="AA135" s="137"/>
      <c r="AB135" s="137"/>
      <c r="AC135" s="137"/>
    </row>
    <row r="136" spans="2:31" ht="15.75" customHeight="1">
      <c r="B136" s="68"/>
      <c r="C136" s="68"/>
      <c r="D136" s="63"/>
      <c r="E136" s="63"/>
      <c r="F136" s="63"/>
      <c r="G136" s="63"/>
      <c r="H136" s="63"/>
      <c r="I136" s="63"/>
      <c r="J136" s="63"/>
      <c r="K136" s="63"/>
      <c r="L136" s="63"/>
      <c r="M136" s="168"/>
      <c r="N136" s="63"/>
      <c r="O136" s="64"/>
      <c r="P136" s="64"/>
      <c r="Q136" s="64"/>
      <c r="R136" s="64"/>
      <c r="S136" s="64"/>
      <c r="T136" s="64"/>
      <c r="U136" s="64"/>
      <c r="V136" s="64"/>
      <c r="W136" s="64"/>
      <c r="X136" s="64"/>
      <c r="Y136" s="137"/>
      <c r="Z136" s="137"/>
      <c r="AA136" s="137"/>
      <c r="AB136" s="137"/>
      <c r="AC136" s="137"/>
    </row>
    <row r="137" spans="2:31" ht="15.75" customHeight="1">
      <c r="B137" s="68"/>
      <c r="C137" s="68"/>
      <c r="D137" s="63"/>
      <c r="E137" s="63"/>
      <c r="F137" s="63"/>
      <c r="G137" s="63"/>
      <c r="H137" s="63"/>
      <c r="I137" s="63"/>
      <c r="J137" s="63"/>
      <c r="K137" s="63"/>
      <c r="L137" s="63"/>
      <c r="M137" s="168"/>
      <c r="N137" s="63"/>
      <c r="O137" s="64"/>
      <c r="P137" s="64"/>
      <c r="Q137" s="64"/>
      <c r="R137" s="64"/>
      <c r="S137" s="64"/>
      <c r="T137" s="64"/>
      <c r="U137" s="64"/>
      <c r="V137" s="64"/>
      <c r="W137" s="64"/>
      <c r="X137" s="64"/>
      <c r="Y137" s="137"/>
      <c r="Z137" s="137"/>
      <c r="AA137" s="137"/>
      <c r="AB137" s="137"/>
      <c r="AC137" s="137"/>
    </row>
    <row r="138" spans="2:31" ht="15.75" customHeight="1">
      <c r="B138" s="68"/>
      <c r="C138" s="68"/>
      <c r="D138" s="63"/>
      <c r="E138" s="63"/>
      <c r="F138" s="63"/>
      <c r="G138" s="63"/>
      <c r="H138" s="63"/>
      <c r="I138" s="63"/>
      <c r="J138" s="63"/>
      <c r="K138" s="63"/>
      <c r="L138" s="63"/>
      <c r="M138" s="168"/>
      <c r="N138" s="63"/>
      <c r="O138" s="64"/>
      <c r="P138" s="64"/>
      <c r="Q138" s="64"/>
      <c r="R138" s="64"/>
      <c r="S138" s="64"/>
      <c r="T138" s="64"/>
      <c r="U138" s="64"/>
      <c r="V138" s="64"/>
      <c r="W138" s="64"/>
      <c r="X138" s="64"/>
      <c r="Y138" s="137"/>
      <c r="Z138" s="137"/>
      <c r="AA138" s="137"/>
      <c r="AB138" s="137"/>
      <c r="AC138" s="137"/>
    </row>
    <row r="139" spans="2:31" ht="15.75" customHeight="1">
      <c r="B139" s="68"/>
      <c r="C139" s="68"/>
      <c r="D139" s="63"/>
      <c r="E139" s="63"/>
      <c r="F139" s="63"/>
      <c r="G139" s="63"/>
      <c r="H139" s="63"/>
      <c r="I139" s="63"/>
      <c r="J139" s="63"/>
      <c r="K139" s="63"/>
      <c r="L139" s="63"/>
      <c r="M139" s="168"/>
      <c r="N139" s="63"/>
      <c r="O139" s="64"/>
      <c r="P139" s="64"/>
      <c r="Q139" s="64"/>
      <c r="R139" s="64"/>
      <c r="S139" s="64"/>
      <c r="T139" s="64"/>
      <c r="U139" s="64"/>
      <c r="V139" s="64"/>
      <c r="W139" s="64"/>
      <c r="X139" s="64"/>
      <c r="Y139" s="137"/>
      <c r="Z139" s="137"/>
      <c r="AA139" s="137"/>
      <c r="AB139" s="137"/>
      <c r="AC139" s="137"/>
    </row>
    <row r="140" spans="2:31" ht="15.75" customHeight="1">
      <c r="B140" s="68"/>
      <c r="C140" s="68"/>
      <c r="D140" s="63"/>
      <c r="E140" s="63"/>
      <c r="F140" s="63"/>
      <c r="G140" s="63"/>
      <c r="H140" s="63"/>
      <c r="I140" s="63"/>
      <c r="J140" s="63"/>
      <c r="K140" s="63"/>
      <c r="L140" s="63"/>
      <c r="M140" s="168"/>
      <c r="N140" s="63"/>
      <c r="O140" s="64"/>
      <c r="P140" s="64"/>
      <c r="Q140" s="64"/>
      <c r="R140" s="64"/>
      <c r="S140" s="64"/>
      <c r="T140" s="64"/>
      <c r="U140" s="64"/>
      <c r="V140" s="64"/>
      <c r="W140" s="64"/>
      <c r="X140" s="64"/>
      <c r="Y140" s="137"/>
      <c r="Z140" s="137"/>
      <c r="AA140" s="137"/>
      <c r="AB140" s="137"/>
      <c r="AC140" s="137"/>
    </row>
    <row r="141" spans="2:31" ht="15.75" customHeight="1">
      <c r="B141" s="68"/>
      <c r="C141" s="68"/>
      <c r="D141" s="63"/>
      <c r="E141" s="63"/>
      <c r="F141" s="63"/>
      <c r="G141" s="63"/>
      <c r="H141" s="63"/>
      <c r="I141" s="63"/>
      <c r="J141" s="63"/>
      <c r="K141" s="63"/>
      <c r="L141" s="63"/>
      <c r="M141" s="168"/>
      <c r="N141" s="63"/>
      <c r="O141" s="64"/>
      <c r="P141" s="64"/>
      <c r="Q141" s="64"/>
      <c r="R141" s="64"/>
      <c r="S141" s="64"/>
      <c r="T141" s="64"/>
      <c r="U141" s="64"/>
      <c r="V141" s="64"/>
      <c r="W141" s="64"/>
      <c r="X141" s="64"/>
      <c r="Y141" s="137"/>
      <c r="Z141" s="137"/>
      <c r="AA141" s="137"/>
      <c r="AB141" s="137"/>
      <c r="AC141" s="137"/>
    </row>
    <row r="142" spans="2:31" ht="15.75" customHeight="1">
      <c r="B142" s="68"/>
      <c r="C142" s="68"/>
      <c r="D142" s="63"/>
      <c r="E142" s="63"/>
      <c r="F142" s="63"/>
      <c r="G142" s="63"/>
      <c r="H142" s="63"/>
      <c r="I142" s="63"/>
      <c r="J142" s="63"/>
      <c r="K142" s="63"/>
      <c r="L142" s="63"/>
      <c r="M142" s="168"/>
      <c r="N142" s="63"/>
      <c r="O142" s="64"/>
      <c r="P142" s="64"/>
      <c r="Q142" s="64"/>
      <c r="R142" s="64"/>
      <c r="S142" s="64"/>
      <c r="T142" s="64"/>
      <c r="U142" s="64"/>
      <c r="V142" s="64"/>
      <c r="W142" s="64"/>
      <c r="X142" s="64"/>
      <c r="Y142" s="137"/>
      <c r="Z142" s="137"/>
      <c r="AA142" s="137"/>
      <c r="AB142" s="137"/>
      <c r="AC142" s="137"/>
    </row>
    <row r="143" spans="2:31" ht="15.75" customHeight="1">
      <c r="B143" s="68"/>
      <c r="C143" s="68"/>
      <c r="D143" s="63"/>
      <c r="E143" s="63"/>
      <c r="F143" s="63"/>
      <c r="G143" s="63"/>
      <c r="H143" s="63"/>
      <c r="I143" s="63"/>
      <c r="J143" s="63"/>
      <c r="K143" s="63"/>
      <c r="L143" s="63"/>
      <c r="M143" s="168"/>
      <c r="N143" s="63"/>
      <c r="O143" s="64"/>
      <c r="P143" s="64"/>
      <c r="Q143" s="64"/>
      <c r="R143" s="64"/>
      <c r="S143" s="64"/>
      <c r="T143" s="64"/>
      <c r="U143" s="64"/>
      <c r="V143" s="64"/>
      <c r="W143" s="64"/>
      <c r="X143" s="64"/>
      <c r="Y143" s="137"/>
      <c r="Z143" s="137"/>
      <c r="AA143" s="137"/>
      <c r="AB143" s="137"/>
      <c r="AC143" s="137"/>
    </row>
    <row r="144" spans="2:31" ht="15.75" customHeight="1">
      <c r="B144" s="68"/>
      <c r="C144" s="68"/>
      <c r="D144" s="63"/>
      <c r="E144" s="63"/>
      <c r="F144" s="63"/>
      <c r="G144" s="63"/>
      <c r="H144" s="63"/>
      <c r="I144" s="63"/>
      <c r="J144" s="63"/>
      <c r="K144" s="63"/>
      <c r="L144" s="63"/>
      <c r="M144" s="168"/>
      <c r="N144" s="63"/>
      <c r="O144" s="64"/>
      <c r="P144" s="64"/>
      <c r="Q144" s="64"/>
      <c r="R144" s="64"/>
      <c r="S144" s="64"/>
      <c r="T144" s="64"/>
      <c r="U144" s="64"/>
      <c r="V144" s="64"/>
      <c r="W144" s="64"/>
      <c r="X144" s="64"/>
      <c r="Y144" s="137"/>
      <c r="Z144" s="137"/>
      <c r="AA144" s="137"/>
      <c r="AB144" s="137"/>
      <c r="AC144" s="137"/>
    </row>
    <row r="145" spans="2:29" ht="15.75" customHeight="1">
      <c r="B145" s="68"/>
      <c r="C145" s="68"/>
      <c r="D145" s="63"/>
      <c r="E145" s="63"/>
      <c r="F145" s="63"/>
      <c r="G145" s="63"/>
      <c r="H145" s="63"/>
      <c r="I145" s="63"/>
      <c r="J145" s="63"/>
      <c r="K145" s="63"/>
      <c r="L145" s="63"/>
      <c r="M145" s="168"/>
      <c r="N145" s="63"/>
      <c r="O145" s="64"/>
      <c r="P145" s="64"/>
      <c r="Q145" s="64"/>
      <c r="R145" s="64"/>
      <c r="S145" s="64"/>
      <c r="T145" s="64"/>
      <c r="U145" s="64"/>
      <c r="V145" s="64"/>
      <c r="W145" s="64"/>
      <c r="X145" s="64"/>
      <c r="Y145" s="137"/>
      <c r="Z145" s="137"/>
      <c r="AA145" s="137"/>
      <c r="AB145" s="137"/>
      <c r="AC145" s="137"/>
    </row>
    <row r="146" spans="2:29" ht="15.75" customHeight="1">
      <c r="B146" s="68"/>
      <c r="C146" s="68"/>
      <c r="D146" s="63"/>
      <c r="E146" s="63"/>
      <c r="F146" s="63"/>
      <c r="G146" s="63"/>
      <c r="H146" s="63"/>
      <c r="I146" s="63"/>
      <c r="J146" s="63"/>
      <c r="K146" s="63"/>
      <c r="L146" s="63"/>
      <c r="M146" s="168"/>
      <c r="N146" s="63"/>
      <c r="O146" s="64"/>
      <c r="P146" s="64"/>
      <c r="Q146" s="64"/>
      <c r="R146" s="64"/>
      <c r="S146" s="64"/>
      <c r="T146" s="64"/>
      <c r="U146" s="64"/>
      <c r="V146" s="64"/>
      <c r="W146" s="64"/>
      <c r="X146" s="64"/>
      <c r="Y146" s="137"/>
      <c r="Z146" s="137"/>
      <c r="AA146" s="137"/>
      <c r="AB146" s="137"/>
      <c r="AC146" s="137"/>
    </row>
    <row r="147" spans="2:29" ht="15.75" customHeight="1">
      <c r="B147" s="68"/>
      <c r="C147" s="68"/>
      <c r="D147" s="63"/>
      <c r="E147" s="63"/>
      <c r="F147" s="63"/>
      <c r="G147" s="63"/>
      <c r="H147" s="63"/>
      <c r="I147" s="63"/>
      <c r="J147" s="63"/>
      <c r="K147" s="63"/>
      <c r="L147" s="63"/>
      <c r="M147" s="168"/>
      <c r="N147" s="63"/>
      <c r="O147" s="64"/>
      <c r="P147" s="64"/>
      <c r="Q147" s="64"/>
      <c r="R147" s="64"/>
      <c r="S147" s="64"/>
      <c r="T147" s="64"/>
      <c r="U147" s="64"/>
      <c r="V147" s="64"/>
      <c r="W147" s="64"/>
      <c r="X147" s="64"/>
      <c r="Y147" s="137"/>
      <c r="Z147" s="137"/>
      <c r="AA147" s="137"/>
      <c r="AB147" s="137"/>
      <c r="AC147" s="137"/>
    </row>
    <row r="148" spans="2:29" ht="15.75" customHeight="1">
      <c r="B148" s="68"/>
      <c r="C148" s="68"/>
      <c r="D148" s="63"/>
      <c r="E148" s="63"/>
      <c r="F148" s="63"/>
      <c r="G148" s="63"/>
      <c r="H148" s="63"/>
      <c r="I148" s="63"/>
      <c r="J148" s="63"/>
      <c r="K148" s="63"/>
      <c r="L148" s="63"/>
      <c r="M148" s="168"/>
      <c r="N148" s="63"/>
      <c r="O148" s="64"/>
      <c r="P148" s="64"/>
      <c r="Q148" s="64"/>
      <c r="R148" s="64"/>
      <c r="S148" s="64"/>
      <c r="T148" s="64"/>
      <c r="U148" s="64"/>
      <c r="V148" s="64"/>
      <c r="W148" s="64"/>
      <c r="X148" s="64"/>
      <c r="Y148" s="137"/>
      <c r="Z148" s="137"/>
      <c r="AA148" s="137"/>
      <c r="AB148" s="137"/>
      <c r="AC148" s="137"/>
    </row>
    <row r="149" spans="2:29" ht="15.75" customHeight="1">
      <c r="B149" s="68"/>
      <c r="C149" s="68"/>
      <c r="D149" s="63"/>
      <c r="E149" s="63"/>
      <c r="F149" s="63"/>
      <c r="G149" s="63"/>
      <c r="H149" s="63"/>
      <c r="I149" s="63"/>
      <c r="J149" s="63"/>
      <c r="K149" s="63"/>
      <c r="L149" s="63"/>
      <c r="M149" s="168"/>
      <c r="N149" s="63"/>
      <c r="O149" s="64"/>
      <c r="P149" s="64"/>
      <c r="Q149" s="64"/>
      <c r="R149" s="64"/>
      <c r="S149" s="64"/>
      <c r="T149" s="64"/>
      <c r="U149" s="64"/>
      <c r="V149" s="64"/>
      <c r="W149" s="64"/>
      <c r="X149" s="64"/>
      <c r="Y149" s="137"/>
      <c r="Z149" s="137"/>
      <c r="AA149" s="137"/>
      <c r="AB149" s="137"/>
      <c r="AC149" s="137"/>
    </row>
    <row r="150" spans="2:29" ht="15.75" customHeight="1">
      <c r="B150" s="68"/>
      <c r="C150" s="68"/>
      <c r="D150" s="63"/>
      <c r="E150" s="63"/>
      <c r="F150" s="63"/>
      <c r="G150" s="63"/>
      <c r="H150" s="63"/>
      <c r="I150" s="63"/>
      <c r="J150" s="63"/>
      <c r="K150" s="63"/>
      <c r="L150" s="63"/>
      <c r="M150" s="168"/>
      <c r="N150" s="63"/>
      <c r="O150" s="64"/>
      <c r="P150" s="64"/>
      <c r="Q150" s="64"/>
      <c r="R150" s="64"/>
      <c r="S150" s="64"/>
      <c r="T150" s="64"/>
      <c r="U150" s="64"/>
      <c r="V150" s="64"/>
      <c r="W150" s="64"/>
      <c r="X150" s="64"/>
      <c r="Y150" s="137"/>
      <c r="Z150" s="137"/>
      <c r="AA150" s="137"/>
      <c r="AB150" s="137"/>
      <c r="AC150" s="137"/>
    </row>
    <row r="151" spans="2:29" ht="15.75" customHeight="1">
      <c r="B151" s="68"/>
      <c r="C151" s="68"/>
      <c r="D151" s="63"/>
      <c r="E151" s="63"/>
      <c r="F151" s="63"/>
      <c r="G151" s="63"/>
      <c r="H151" s="63"/>
      <c r="I151" s="63"/>
      <c r="J151" s="63"/>
      <c r="K151" s="63"/>
      <c r="L151" s="63"/>
      <c r="M151" s="168"/>
      <c r="N151" s="63"/>
      <c r="O151" s="64"/>
      <c r="P151" s="64"/>
      <c r="Q151" s="64"/>
      <c r="R151" s="64"/>
      <c r="S151" s="64"/>
      <c r="T151" s="64"/>
      <c r="U151" s="64"/>
      <c r="V151" s="64"/>
      <c r="W151" s="64"/>
      <c r="X151" s="64"/>
      <c r="Y151" s="137"/>
      <c r="Z151" s="137"/>
      <c r="AA151" s="137"/>
      <c r="AB151" s="137"/>
      <c r="AC151" s="137"/>
    </row>
    <row r="152" spans="2:29" ht="15.75" customHeight="1">
      <c r="B152" s="68"/>
      <c r="C152" s="68"/>
      <c r="D152" s="63"/>
      <c r="E152" s="63"/>
      <c r="F152" s="63"/>
      <c r="G152" s="63"/>
      <c r="H152" s="63"/>
      <c r="I152" s="63"/>
      <c r="J152" s="63"/>
      <c r="K152" s="63"/>
      <c r="L152" s="63"/>
      <c r="M152" s="168"/>
      <c r="N152" s="63"/>
      <c r="O152" s="64"/>
      <c r="P152" s="64"/>
      <c r="Q152" s="64"/>
      <c r="R152" s="64"/>
      <c r="S152" s="64"/>
      <c r="T152" s="64"/>
      <c r="U152" s="64"/>
      <c r="V152" s="64"/>
      <c r="W152" s="64"/>
      <c r="X152" s="64"/>
      <c r="Y152" s="137"/>
      <c r="Z152" s="137"/>
      <c r="AA152" s="137"/>
      <c r="AB152" s="137"/>
      <c r="AC152" s="137"/>
    </row>
    <row r="153" spans="2:29" ht="15.75" customHeight="1">
      <c r="B153" s="68"/>
      <c r="C153" s="68"/>
      <c r="D153" s="63"/>
      <c r="E153" s="63"/>
      <c r="F153" s="63"/>
      <c r="G153" s="63"/>
      <c r="H153" s="63"/>
      <c r="I153" s="63"/>
      <c r="J153" s="63"/>
      <c r="K153" s="63"/>
      <c r="L153" s="63"/>
      <c r="M153" s="168"/>
      <c r="N153" s="63"/>
      <c r="O153" s="64"/>
      <c r="P153" s="64"/>
      <c r="Q153" s="64"/>
      <c r="R153" s="64"/>
      <c r="S153" s="64"/>
      <c r="T153" s="64"/>
      <c r="U153" s="64"/>
      <c r="V153" s="64"/>
      <c r="W153" s="64"/>
      <c r="X153" s="64"/>
      <c r="Y153" s="137"/>
      <c r="Z153" s="137"/>
      <c r="AA153" s="137"/>
      <c r="AB153" s="137"/>
      <c r="AC153" s="137"/>
    </row>
    <row r="154" spans="2:29" ht="15.75" customHeight="1">
      <c r="B154" s="68"/>
      <c r="C154" s="68"/>
      <c r="D154" s="63"/>
      <c r="E154" s="63"/>
      <c r="F154" s="63"/>
      <c r="G154" s="63"/>
      <c r="H154" s="63"/>
      <c r="I154" s="63"/>
      <c r="J154" s="63"/>
      <c r="K154" s="63"/>
      <c r="L154" s="63"/>
      <c r="M154" s="168"/>
      <c r="N154" s="63"/>
      <c r="O154" s="64"/>
      <c r="P154" s="64"/>
      <c r="Q154" s="64"/>
      <c r="R154" s="64"/>
      <c r="S154" s="64"/>
      <c r="T154" s="64"/>
      <c r="U154" s="64"/>
      <c r="V154" s="64"/>
      <c r="W154" s="64"/>
      <c r="X154" s="64"/>
      <c r="Y154" s="137"/>
      <c r="Z154" s="137"/>
      <c r="AA154" s="137"/>
      <c r="AB154" s="137"/>
      <c r="AC154" s="137"/>
    </row>
    <row r="155" spans="2:29" ht="15.75" customHeight="1">
      <c r="B155" s="68"/>
      <c r="C155" s="68"/>
      <c r="D155" s="63"/>
      <c r="E155" s="63"/>
      <c r="F155" s="63"/>
      <c r="G155" s="63"/>
      <c r="H155" s="63"/>
      <c r="I155" s="63"/>
      <c r="J155" s="63"/>
      <c r="K155" s="63"/>
      <c r="L155" s="63"/>
      <c r="M155" s="168"/>
      <c r="N155" s="63"/>
      <c r="O155" s="64"/>
      <c r="P155" s="64"/>
      <c r="Q155" s="64"/>
      <c r="R155" s="64"/>
      <c r="S155" s="64"/>
      <c r="T155" s="64"/>
      <c r="U155" s="64"/>
      <c r="V155" s="64"/>
      <c r="W155" s="64"/>
      <c r="X155" s="64"/>
      <c r="Y155" s="137"/>
      <c r="Z155" s="137"/>
      <c r="AA155" s="137"/>
      <c r="AB155" s="137"/>
      <c r="AC155" s="137"/>
    </row>
    <row r="156" spans="2:29" ht="15.75" customHeight="1">
      <c r="B156" s="68"/>
      <c r="C156" s="68"/>
      <c r="D156" s="63"/>
      <c r="E156" s="63"/>
      <c r="F156" s="63"/>
      <c r="G156" s="63"/>
      <c r="H156" s="63"/>
      <c r="I156" s="63"/>
      <c r="J156" s="63"/>
      <c r="K156" s="63"/>
      <c r="L156" s="63"/>
      <c r="M156" s="168"/>
      <c r="N156" s="63"/>
      <c r="O156" s="64"/>
      <c r="P156" s="64"/>
      <c r="Q156" s="64"/>
      <c r="R156" s="64"/>
      <c r="S156" s="64"/>
      <c r="T156" s="64"/>
      <c r="U156" s="64"/>
      <c r="V156" s="64"/>
      <c r="W156" s="64"/>
      <c r="X156" s="64"/>
      <c r="Y156" s="137"/>
      <c r="Z156" s="137"/>
      <c r="AA156" s="137"/>
      <c r="AB156" s="137"/>
      <c r="AC156" s="137"/>
    </row>
    <row r="157" spans="2:29" ht="15.75" customHeight="1">
      <c r="B157" s="68"/>
      <c r="C157" s="68"/>
      <c r="D157" s="63"/>
      <c r="E157" s="63"/>
      <c r="F157" s="63"/>
      <c r="G157" s="63"/>
      <c r="H157" s="63"/>
      <c r="I157" s="63"/>
      <c r="J157" s="63"/>
      <c r="K157" s="63"/>
      <c r="L157" s="63"/>
      <c r="M157" s="168"/>
      <c r="N157" s="63"/>
      <c r="O157" s="64"/>
      <c r="P157" s="64"/>
      <c r="Q157" s="64"/>
      <c r="R157" s="64"/>
      <c r="S157" s="64"/>
      <c r="T157" s="64"/>
      <c r="U157" s="64"/>
      <c r="V157" s="64"/>
      <c r="W157" s="64"/>
      <c r="X157" s="64"/>
      <c r="Y157" s="137"/>
      <c r="Z157" s="137"/>
      <c r="AA157" s="137"/>
      <c r="AB157" s="137"/>
      <c r="AC157" s="137"/>
    </row>
    <row r="158" spans="2:29" ht="15.75" customHeight="1">
      <c r="B158" s="68"/>
      <c r="C158" s="68"/>
      <c r="D158" s="63"/>
      <c r="E158" s="63"/>
      <c r="F158" s="63"/>
      <c r="G158" s="63"/>
      <c r="H158" s="63"/>
      <c r="I158" s="63"/>
      <c r="J158" s="63"/>
      <c r="K158" s="63"/>
      <c r="L158" s="63"/>
      <c r="M158" s="168"/>
      <c r="N158" s="63"/>
      <c r="O158" s="64"/>
      <c r="P158" s="64"/>
      <c r="Q158" s="64"/>
      <c r="R158" s="64"/>
      <c r="S158" s="64"/>
      <c r="T158" s="64"/>
      <c r="U158" s="64"/>
      <c r="V158" s="64"/>
      <c r="W158" s="64"/>
      <c r="X158" s="64"/>
      <c r="Y158" s="137"/>
      <c r="Z158" s="137"/>
      <c r="AA158" s="137"/>
      <c r="AB158" s="137"/>
      <c r="AC158" s="137"/>
    </row>
    <row r="159" spans="2:29" ht="15.75" customHeight="1">
      <c r="B159" s="68"/>
      <c r="C159" s="68"/>
      <c r="D159" s="63"/>
      <c r="E159" s="63"/>
      <c r="F159" s="63"/>
      <c r="G159" s="63"/>
      <c r="H159" s="63"/>
      <c r="I159" s="63"/>
      <c r="J159" s="63"/>
      <c r="K159" s="63"/>
      <c r="L159" s="63"/>
      <c r="M159" s="168"/>
      <c r="N159" s="63"/>
      <c r="O159" s="64"/>
      <c r="P159" s="64"/>
      <c r="Q159" s="64"/>
      <c r="R159" s="64"/>
      <c r="S159" s="64"/>
      <c r="T159" s="64"/>
      <c r="U159" s="64"/>
      <c r="V159" s="64"/>
      <c r="W159" s="64"/>
      <c r="X159" s="64"/>
      <c r="Y159" s="137"/>
      <c r="Z159" s="137"/>
      <c r="AA159" s="137"/>
      <c r="AB159" s="137"/>
      <c r="AC159" s="137"/>
    </row>
    <row r="160" spans="2:29" ht="15.75" customHeight="1">
      <c r="B160" s="68"/>
      <c r="C160" s="68"/>
      <c r="D160" s="63"/>
      <c r="E160" s="63"/>
      <c r="F160" s="63"/>
      <c r="G160" s="63"/>
      <c r="H160" s="63"/>
      <c r="I160" s="63"/>
      <c r="J160" s="63"/>
      <c r="K160" s="63"/>
      <c r="L160" s="63"/>
      <c r="M160" s="168"/>
      <c r="N160" s="63"/>
      <c r="O160" s="64"/>
      <c r="P160" s="64"/>
      <c r="Q160" s="64"/>
      <c r="R160" s="64"/>
      <c r="S160" s="64"/>
      <c r="T160" s="64"/>
      <c r="U160" s="64"/>
      <c r="V160" s="64"/>
      <c r="W160" s="64"/>
      <c r="X160" s="64"/>
      <c r="Y160" s="137"/>
      <c r="Z160" s="137"/>
      <c r="AA160" s="137"/>
      <c r="AB160" s="137"/>
      <c r="AC160" s="137"/>
    </row>
    <row r="161" spans="2:29" ht="15.75" customHeight="1">
      <c r="B161" s="68"/>
      <c r="C161" s="68"/>
      <c r="D161" s="63"/>
      <c r="E161" s="63"/>
      <c r="F161" s="63"/>
      <c r="G161" s="63"/>
      <c r="H161" s="63"/>
      <c r="I161" s="63"/>
      <c r="J161" s="63"/>
      <c r="K161" s="63"/>
      <c r="L161" s="63"/>
      <c r="M161" s="168"/>
      <c r="N161" s="63"/>
      <c r="O161" s="64"/>
      <c r="P161" s="64"/>
      <c r="Q161" s="64"/>
      <c r="R161" s="64"/>
      <c r="S161" s="64"/>
      <c r="T161" s="64"/>
      <c r="U161" s="64"/>
      <c r="V161" s="64"/>
      <c r="W161" s="64"/>
      <c r="X161" s="64"/>
      <c r="Y161" s="137"/>
      <c r="Z161" s="137"/>
      <c r="AA161" s="137"/>
      <c r="AB161" s="137"/>
      <c r="AC161" s="137"/>
    </row>
    <row r="162" spans="2:29" ht="15.75" customHeight="1">
      <c r="B162" s="68"/>
      <c r="C162" s="68"/>
      <c r="D162" s="63"/>
      <c r="E162" s="63"/>
      <c r="F162" s="63"/>
      <c r="G162" s="63"/>
      <c r="H162" s="63"/>
      <c r="I162" s="63"/>
      <c r="J162" s="63"/>
      <c r="K162" s="63"/>
      <c r="L162" s="63"/>
      <c r="M162" s="168"/>
      <c r="N162" s="63"/>
      <c r="O162" s="64"/>
      <c r="P162" s="64"/>
      <c r="Q162" s="64"/>
      <c r="R162" s="64"/>
      <c r="S162" s="64"/>
      <c r="T162" s="64"/>
      <c r="U162" s="64"/>
      <c r="V162" s="64"/>
      <c r="W162" s="64"/>
      <c r="X162" s="64"/>
      <c r="Y162" s="137"/>
      <c r="Z162" s="137"/>
      <c r="AA162" s="137"/>
      <c r="AB162" s="137"/>
      <c r="AC162" s="137"/>
    </row>
    <row r="163" spans="2:29" ht="15.75" customHeight="1">
      <c r="B163" s="68"/>
      <c r="C163" s="68"/>
      <c r="D163" s="63"/>
      <c r="E163" s="63"/>
      <c r="F163" s="63"/>
      <c r="G163" s="63"/>
      <c r="H163" s="63"/>
      <c r="I163" s="63"/>
      <c r="J163" s="63"/>
      <c r="K163" s="63"/>
      <c r="L163" s="63"/>
      <c r="M163" s="168"/>
      <c r="N163" s="63"/>
      <c r="O163" s="64"/>
      <c r="P163" s="64"/>
      <c r="Q163" s="64"/>
      <c r="R163" s="64"/>
      <c r="S163" s="64"/>
      <c r="T163" s="64"/>
      <c r="U163" s="64"/>
      <c r="V163" s="64"/>
      <c r="W163" s="64"/>
      <c r="X163" s="64"/>
      <c r="Y163" s="137"/>
      <c r="Z163" s="137"/>
      <c r="AA163" s="137"/>
      <c r="AB163" s="137"/>
      <c r="AC163" s="137"/>
    </row>
    <row r="164" spans="2:29" ht="15.75" customHeight="1">
      <c r="B164" s="68"/>
      <c r="C164" s="68"/>
      <c r="D164" s="63"/>
      <c r="E164" s="63"/>
      <c r="F164" s="63"/>
      <c r="G164" s="63"/>
      <c r="H164" s="63"/>
      <c r="I164" s="63"/>
      <c r="J164" s="63"/>
      <c r="K164" s="63"/>
      <c r="L164" s="63"/>
      <c r="M164" s="168"/>
      <c r="N164" s="63"/>
      <c r="O164" s="64"/>
      <c r="P164" s="64"/>
      <c r="Q164" s="64"/>
      <c r="R164" s="64"/>
      <c r="S164" s="64"/>
      <c r="T164" s="64"/>
      <c r="U164" s="64"/>
      <c r="V164" s="64"/>
      <c r="W164" s="64"/>
      <c r="X164" s="64"/>
      <c r="Y164" s="137"/>
      <c r="Z164" s="137"/>
      <c r="AA164" s="137"/>
      <c r="AB164" s="137"/>
      <c r="AC164" s="137"/>
    </row>
    <row r="165" spans="2:29" ht="15.75" customHeight="1">
      <c r="B165" s="68"/>
      <c r="C165" s="68"/>
      <c r="D165" s="63"/>
      <c r="E165" s="63"/>
      <c r="F165" s="63"/>
      <c r="G165" s="63"/>
      <c r="H165" s="63"/>
      <c r="I165" s="63"/>
      <c r="J165" s="63"/>
      <c r="K165" s="63"/>
      <c r="L165" s="63"/>
      <c r="M165" s="168"/>
      <c r="N165" s="63"/>
      <c r="O165" s="64"/>
      <c r="P165" s="64"/>
      <c r="Q165" s="64"/>
      <c r="R165" s="64"/>
      <c r="S165" s="64"/>
      <c r="T165" s="64"/>
      <c r="U165" s="64"/>
      <c r="V165" s="64"/>
      <c r="W165" s="64"/>
      <c r="X165" s="64"/>
      <c r="Y165" s="137"/>
      <c r="Z165" s="137"/>
      <c r="AA165" s="137"/>
      <c r="AB165" s="137"/>
      <c r="AC165" s="137"/>
    </row>
    <row r="166" spans="2:29" ht="15.75" customHeight="1">
      <c r="B166" s="68"/>
      <c r="C166" s="68"/>
      <c r="D166" s="63"/>
      <c r="E166" s="63"/>
      <c r="F166" s="63"/>
      <c r="G166" s="63"/>
      <c r="H166" s="63"/>
      <c r="I166" s="63"/>
      <c r="J166" s="63"/>
      <c r="K166" s="63"/>
      <c r="L166" s="63"/>
      <c r="M166" s="168"/>
      <c r="N166" s="63"/>
      <c r="O166" s="64"/>
      <c r="P166" s="64"/>
      <c r="Q166" s="64"/>
      <c r="R166" s="64"/>
      <c r="S166" s="64"/>
      <c r="T166" s="64"/>
      <c r="U166" s="64"/>
      <c r="V166" s="64"/>
      <c r="W166" s="64"/>
      <c r="X166" s="64"/>
      <c r="Y166" s="137"/>
      <c r="Z166" s="137"/>
      <c r="AA166" s="137"/>
      <c r="AB166" s="137"/>
      <c r="AC166" s="137"/>
    </row>
    <row r="167" spans="2:29" ht="15.75" customHeight="1">
      <c r="B167" s="68"/>
      <c r="C167" s="68"/>
      <c r="D167" s="63"/>
      <c r="E167" s="63"/>
      <c r="F167" s="63"/>
      <c r="G167" s="63"/>
      <c r="H167" s="63"/>
      <c r="I167" s="63"/>
      <c r="J167" s="63"/>
      <c r="K167" s="63"/>
      <c r="L167" s="63"/>
      <c r="M167" s="168"/>
      <c r="N167" s="63"/>
      <c r="O167" s="64"/>
      <c r="P167" s="64"/>
      <c r="Q167" s="64"/>
      <c r="R167" s="64"/>
      <c r="S167" s="64"/>
      <c r="T167" s="64"/>
      <c r="U167" s="64"/>
      <c r="V167" s="64"/>
      <c r="W167" s="64"/>
      <c r="X167" s="64"/>
      <c r="Y167" s="137"/>
      <c r="Z167" s="137"/>
      <c r="AA167" s="137"/>
      <c r="AB167" s="137"/>
      <c r="AC167" s="137"/>
    </row>
    <row r="168" spans="2:29" ht="15.75" customHeight="1">
      <c r="B168" s="68"/>
      <c r="C168" s="68"/>
      <c r="D168" s="63"/>
      <c r="E168" s="63"/>
      <c r="F168" s="63"/>
      <c r="G168" s="63"/>
      <c r="H168" s="63"/>
      <c r="I168" s="63"/>
      <c r="J168" s="63"/>
      <c r="K168" s="63"/>
      <c r="L168" s="63"/>
      <c r="M168" s="168"/>
      <c r="N168" s="63"/>
      <c r="O168" s="64"/>
      <c r="P168" s="64"/>
      <c r="Q168" s="64"/>
      <c r="R168" s="64"/>
      <c r="S168" s="64"/>
      <c r="T168" s="64"/>
      <c r="U168" s="64"/>
      <c r="V168" s="64"/>
      <c r="W168" s="64"/>
      <c r="X168" s="64"/>
      <c r="Y168" s="137"/>
      <c r="Z168" s="137"/>
      <c r="AA168" s="137"/>
      <c r="AB168" s="137"/>
      <c r="AC168" s="137"/>
    </row>
    <row r="169" spans="2:29" ht="15.75" customHeight="1">
      <c r="B169" s="68"/>
      <c r="C169" s="68"/>
      <c r="D169" s="63"/>
      <c r="E169" s="63"/>
      <c r="F169" s="63"/>
      <c r="G169" s="63"/>
      <c r="H169" s="63"/>
      <c r="I169" s="63"/>
      <c r="J169" s="63"/>
      <c r="K169" s="63"/>
      <c r="L169" s="63"/>
      <c r="M169" s="168"/>
      <c r="N169" s="63"/>
      <c r="O169" s="64"/>
      <c r="P169" s="64"/>
      <c r="Q169" s="64"/>
      <c r="R169" s="64"/>
      <c r="S169" s="64"/>
      <c r="T169" s="64"/>
      <c r="U169" s="64"/>
      <c r="V169" s="64"/>
      <c r="W169" s="64"/>
      <c r="X169" s="64"/>
      <c r="Y169" s="137"/>
      <c r="Z169" s="137"/>
      <c r="AA169" s="137"/>
      <c r="AB169" s="137"/>
      <c r="AC169" s="137"/>
    </row>
    <row r="170" spans="2:29" ht="15.75" customHeight="1">
      <c r="B170" s="68"/>
      <c r="C170" s="68"/>
      <c r="D170" s="63"/>
      <c r="E170" s="63"/>
      <c r="F170" s="63"/>
      <c r="G170" s="63"/>
      <c r="H170" s="63"/>
      <c r="I170" s="63"/>
      <c r="J170" s="63"/>
      <c r="K170" s="63"/>
      <c r="L170" s="63"/>
      <c r="M170" s="168"/>
      <c r="N170" s="63"/>
      <c r="O170" s="64"/>
      <c r="P170" s="64"/>
      <c r="Q170" s="64"/>
      <c r="R170" s="64"/>
      <c r="S170" s="64"/>
      <c r="T170" s="64"/>
      <c r="U170" s="64"/>
      <c r="V170" s="64"/>
      <c r="W170" s="64"/>
      <c r="X170" s="64"/>
      <c r="Y170" s="137"/>
      <c r="Z170" s="137"/>
      <c r="AA170" s="137"/>
      <c r="AB170" s="137"/>
      <c r="AC170" s="137"/>
    </row>
    <row r="171" spans="2:29" ht="15.75" customHeight="1">
      <c r="B171" s="68"/>
      <c r="C171" s="68"/>
      <c r="D171" s="63"/>
      <c r="E171" s="63"/>
      <c r="F171" s="63"/>
      <c r="G171" s="63"/>
      <c r="H171" s="63"/>
      <c r="I171" s="63"/>
      <c r="J171" s="63"/>
      <c r="K171" s="63"/>
      <c r="L171" s="63"/>
      <c r="M171" s="168"/>
      <c r="N171" s="63"/>
      <c r="O171" s="64"/>
      <c r="P171" s="64"/>
      <c r="Q171" s="64"/>
      <c r="R171" s="64"/>
      <c r="S171" s="64"/>
      <c r="T171" s="64"/>
      <c r="U171" s="64"/>
      <c r="V171" s="64"/>
      <c r="W171" s="64"/>
      <c r="X171" s="64"/>
      <c r="Y171" s="137"/>
      <c r="Z171" s="137"/>
      <c r="AA171" s="137"/>
      <c r="AB171" s="137"/>
      <c r="AC171" s="137"/>
    </row>
    <row r="172" spans="2:29" ht="15.75" customHeight="1">
      <c r="B172" s="68"/>
      <c r="C172" s="68"/>
      <c r="D172" s="63"/>
      <c r="E172" s="63"/>
      <c r="F172" s="63"/>
      <c r="G172" s="63"/>
      <c r="H172" s="63"/>
      <c r="I172" s="63"/>
      <c r="J172" s="63"/>
      <c r="K172" s="63"/>
      <c r="L172" s="63"/>
      <c r="M172" s="168"/>
      <c r="N172" s="63"/>
      <c r="O172" s="64"/>
      <c r="P172" s="64"/>
      <c r="Q172" s="64"/>
      <c r="R172" s="64"/>
      <c r="S172" s="64"/>
      <c r="T172" s="64"/>
      <c r="U172" s="64"/>
      <c r="V172" s="64"/>
      <c r="W172" s="64"/>
      <c r="X172" s="64"/>
      <c r="Y172" s="137"/>
      <c r="Z172" s="137"/>
      <c r="AA172" s="137"/>
      <c r="AB172" s="137"/>
      <c r="AC172" s="137"/>
    </row>
    <row r="173" spans="2:29" ht="15.75" customHeight="1">
      <c r="B173" s="68"/>
      <c r="C173" s="68"/>
      <c r="D173" s="63"/>
      <c r="E173" s="63"/>
      <c r="F173" s="63"/>
      <c r="G173" s="63"/>
      <c r="H173" s="63"/>
      <c r="I173" s="63"/>
      <c r="J173" s="63"/>
      <c r="K173" s="63"/>
      <c r="L173" s="63"/>
      <c r="M173" s="168"/>
      <c r="N173" s="63"/>
      <c r="O173" s="64"/>
      <c r="P173" s="64"/>
      <c r="Q173" s="64"/>
      <c r="R173" s="64"/>
      <c r="S173" s="64"/>
      <c r="T173" s="64"/>
      <c r="U173" s="64"/>
      <c r="V173" s="64"/>
      <c r="W173" s="64"/>
      <c r="X173" s="64"/>
      <c r="Y173" s="137"/>
      <c r="Z173" s="137"/>
      <c r="AA173" s="137"/>
      <c r="AB173" s="137"/>
      <c r="AC173" s="137"/>
    </row>
    <row r="174" spans="2:29" ht="15.75" customHeight="1">
      <c r="B174" s="68"/>
      <c r="C174" s="68"/>
      <c r="D174" s="63"/>
      <c r="E174" s="63"/>
      <c r="F174" s="63"/>
      <c r="G174" s="63"/>
      <c r="H174" s="63"/>
      <c r="I174" s="63"/>
      <c r="J174" s="63"/>
      <c r="K174" s="63"/>
      <c r="L174" s="63"/>
      <c r="M174" s="168"/>
      <c r="N174" s="63"/>
      <c r="O174" s="64"/>
      <c r="P174" s="64"/>
      <c r="Q174" s="64"/>
      <c r="R174" s="64"/>
      <c r="S174" s="64"/>
      <c r="T174" s="64"/>
      <c r="U174" s="64"/>
      <c r="V174" s="64"/>
      <c r="W174" s="64"/>
      <c r="X174" s="64"/>
      <c r="Y174" s="137"/>
      <c r="Z174" s="137"/>
      <c r="AA174" s="137"/>
      <c r="AB174" s="137"/>
      <c r="AC174" s="137"/>
    </row>
    <row r="175" spans="2:29" ht="15.75" customHeight="1">
      <c r="B175" s="68"/>
      <c r="C175" s="68"/>
      <c r="D175" s="63"/>
      <c r="E175" s="63"/>
      <c r="F175" s="63"/>
      <c r="G175" s="63"/>
      <c r="H175" s="63"/>
      <c r="I175" s="63"/>
      <c r="J175" s="63"/>
      <c r="K175" s="63"/>
      <c r="L175" s="63"/>
      <c r="M175" s="168"/>
      <c r="N175" s="63"/>
      <c r="O175" s="64"/>
      <c r="P175" s="64"/>
      <c r="Q175" s="64"/>
      <c r="R175" s="64"/>
      <c r="S175" s="64"/>
      <c r="T175" s="64"/>
      <c r="U175" s="64"/>
      <c r="V175" s="64"/>
      <c r="W175" s="64"/>
      <c r="X175" s="64"/>
      <c r="Y175" s="137"/>
      <c r="Z175" s="137"/>
      <c r="AA175" s="137"/>
      <c r="AB175" s="137"/>
      <c r="AC175" s="137"/>
    </row>
    <row r="176" spans="2:29" ht="15.75" customHeight="1">
      <c r="B176" s="68"/>
      <c r="C176" s="68"/>
      <c r="D176" s="63"/>
      <c r="E176" s="63"/>
      <c r="F176" s="63"/>
      <c r="G176" s="63"/>
      <c r="H176" s="63"/>
      <c r="I176" s="63"/>
      <c r="J176" s="63"/>
      <c r="K176" s="63"/>
      <c r="L176" s="63"/>
      <c r="M176" s="168"/>
      <c r="N176" s="63"/>
      <c r="O176" s="64"/>
      <c r="P176" s="64"/>
      <c r="Q176" s="64"/>
      <c r="R176" s="64"/>
      <c r="S176" s="64"/>
      <c r="T176" s="64"/>
      <c r="U176" s="64"/>
      <c r="V176" s="64"/>
      <c r="W176" s="64"/>
      <c r="X176" s="64"/>
      <c r="Y176" s="137"/>
      <c r="Z176" s="137"/>
      <c r="AA176" s="137"/>
      <c r="AB176" s="137"/>
      <c r="AC176" s="137"/>
    </row>
    <row r="177" spans="2:29" ht="15.75" customHeight="1">
      <c r="B177" s="68"/>
      <c r="C177" s="68"/>
      <c r="D177" s="63"/>
      <c r="E177" s="63"/>
      <c r="F177" s="63"/>
      <c r="G177" s="63"/>
      <c r="H177" s="63"/>
      <c r="I177" s="63"/>
      <c r="J177" s="63"/>
      <c r="K177" s="63"/>
      <c r="L177" s="63"/>
      <c r="M177" s="168"/>
      <c r="N177" s="63"/>
      <c r="O177" s="64"/>
      <c r="P177" s="64"/>
      <c r="Q177" s="64"/>
      <c r="R177" s="64"/>
      <c r="S177" s="64"/>
      <c r="T177" s="64"/>
      <c r="U177" s="64"/>
      <c r="V177" s="64"/>
      <c r="W177" s="64"/>
      <c r="X177" s="64"/>
      <c r="Y177" s="137"/>
      <c r="Z177" s="137"/>
      <c r="AA177" s="137"/>
      <c r="AB177" s="137"/>
      <c r="AC177" s="137"/>
    </row>
    <row r="178" spans="2:29" ht="15.75" customHeight="1">
      <c r="B178" s="68"/>
      <c r="C178" s="68"/>
      <c r="D178" s="63"/>
      <c r="E178" s="63"/>
      <c r="F178" s="63"/>
      <c r="G178" s="63"/>
      <c r="H178" s="63"/>
      <c r="I178" s="63"/>
      <c r="J178" s="63"/>
      <c r="K178" s="63"/>
      <c r="L178" s="63"/>
      <c r="M178" s="168"/>
      <c r="N178" s="63"/>
      <c r="O178" s="64"/>
      <c r="P178" s="64"/>
      <c r="Q178" s="64"/>
      <c r="R178" s="64"/>
      <c r="S178" s="64"/>
      <c r="T178" s="64"/>
      <c r="U178" s="64"/>
      <c r="V178" s="64"/>
      <c r="W178" s="64"/>
      <c r="X178" s="64"/>
      <c r="Y178" s="137"/>
      <c r="Z178" s="137"/>
      <c r="AA178" s="137"/>
      <c r="AB178" s="137"/>
      <c r="AC178" s="137"/>
    </row>
    <row r="179" spans="2:29" ht="15.75" customHeight="1">
      <c r="B179" s="68"/>
      <c r="C179" s="68"/>
      <c r="D179" s="63"/>
      <c r="E179" s="63"/>
      <c r="F179" s="63"/>
      <c r="G179" s="63"/>
      <c r="H179" s="63"/>
      <c r="I179" s="63"/>
      <c r="J179" s="63"/>
      <c r="K179" s="63"/>
      <c r="L179" s="63"/>
      <c r="M179" s="168"/>
      <c r="N179" s="63"/>
      <c r="O179" s="64"/>
      <c r="P179" s="64"/>
      <c r="Q179" s="64"/>
      <c r="R179" s="64"/>
      <c r="S179" s="64"/>
      <c r="T179" s="64"/>
      <c r="U179" s="64"/>
      <c r="V179" s="64"/>
      <c r="W179" s="64"/>
      <c r="X179" s="64"/>
      <c r="Y179" s="137"/>
      <c r="Z179" s="137"/>
      <c r="AA179" s="137"/>
      <c r="AB179" s="137"/>
      <c r="AC179" s="137"/>
    </row>
    <row r="180" spans="2:29" ht="15.75" customHeight="1">
      <c r="B180" s="68"/>
      <c r="C180" s="68"/>
      <c r="D180" s="63"/>
      <c r="E180" s="63"/>
      <c r="F180" s="63"/>
      <c r="G180" s="63"/>
      <c r="H180" s="63"/>
      <c r="I180" s="63"/>
      <c r="J180" s="63"/>
      <c r="K180" s="63"/>
      <c r="L180" s="63"/>
      <c r="M180" s="168"/>
      <c r="N180" s="63"/>
      <c r="O180" s="64"/>
      <c r="P180" s="64"/>
      <c r="Q180" s="64"/>
      <c r="R180" s="64"/>
      <c r="S180" s="64"/>
      <c r="T180" s="64"/>
      <c r="U180" s="64"/>
      <c r="V180" s="64"/>
      <c r="W180" s="64"/>
      <c r="X180" s="64"/>
      <c r="Y180" s="137"/>
      <c r="Z180" s="137"/>
      <c r="AA180" s="137"/>
      <c r="AB180" s="137"/>
      <c r="AC180" s="137"/>
    </row>
    <row r="181" spans="2:29" ht="15.75" customHeight="1">
      <c r="B181" s="68"/>
      <c r="C181" s="68"/>
      <c r="D181" s="63"/>
      <c r="E181" s="63"/>
      <c r="F181" s="63"/>
      <c r="G181" s="63"/>
      <c r="H181" s="63"/>
      <c r="I181" s="63"/>
      <c r="J181" s="63"/>
      <c r="K181" s="63"/>
      <c r="L181" s="63"/>
      <c r="M181" s="168"/>
      <c r="N181" s="63"/>
      <c r="O181" s="64"/>
      <c r="P181" s="64"/>
      <c r="Q181" s="64"/>
      <c r="R181" s="64"/>
      <c r="S181" s="64"/>
      <c r="T181" s="64"/>
      <c r="U181" s="64"/>
      <c r="V181" s="64"/>
      <c r="W181" s="64"/>
      <c r="X181" s="64"/>
      <c r="Y181" s="137"/>
      <c r="Z181" s="137"/>
      <c r="AA181" s="137"/>
      <c r="AB181" s="137"/>
      <c r="AC181" s="137"/>
    </row>
    <row r="182" spans="2:29" ht="15.75" customHeight="1">
      <c r="B182" s="68"/>
      <c r="C182" s="68"/>
      <c r="D182" s="63"/>
      <c r="E182" s="63"/>
      <c r="F182" s="63"/>
      <c r="G182" s="63"/>
      <c r="H182" s="63"/>
      <c r="I182" s="63"/>
      <c r="J182" s="63"/>
      <c r="K182" s="63"/>
      <c r="L182" s="63"/>
      <c r="M182" s="168"/>
      <c r="N182" s="63"/>
      <c r="O182" s="64"/>
      <c r="P182" s="64"/>
      <c r="Q182" s="64"/>
      <c r="R182" s="64"/>
      <c r="S182" s="64"/>
      <c r="T182" s="64"/>
      <c r="U182" s="64"/>
      <c r="V182" s="64"/>
      <c r="W182" s="64"/>
      <c r="X182" s="64"/>
      <c r="Y182" s="137"/>
      <c r="Z182" s="137"/>
      <c r="AA182" s="137"/>
      <c r="AB182" s="137"/>
      <c r="AC182" s="137"/>
    </row>
    <row r="183" spans="2:29" ht="15.75" customHeight="1">
      <c r="B183" s="68"/>
      <c r="C183" s="68"/>
      <c r="D183" s="63"/>
      <c r="E183" s="63"/>
      <c r="F183" s="63"/>
      <c r="G183" s="63"/>
      <c r="H183" s="63"/>
      <c r="I183" s="63"/>
      <c r="J183" s="63"/>
      <c r="K183" s="63"/>
      <c r="L183" s="63"/>
      <c r="M183" s="168"/>
      <c r="N183" s="63"/>
      <c r="O183" s="64"/>
      <c r="P183" s="64"/>
      <c r="Q183" s="64"/>
      <c r="R183" s="64"/>
      <c r="S183" s="64"/>
      <c r="T183" s="64"/>
      <c r="U183" s="64"/>
      <c r="V183" s="64"/>
      <c r="W183" s="64"/>
      <c r="X183" s="64"/>
      <c r="Y183" s="137"/>
      <c r="Z183" s="137"/>
      <c r="AA183" s="137"/>
      <c r="AB183" s="137"/>
      <c r="AC183" s="137"/>
    </row>
    <row r="184" spans="2:29" ht="15.75" customHeight="1">
      <c r="B184" s="68"/>
      <c r="C184" s="68"/>
      <c r="D184" s="63"/>
      <c r="E184" s="63"/>
      <c r="F184" s="63"/>
      <c r="G184" s="63"/>
      <c r="H184" s="63"/>
      <c r="I184" s="63"/>
      <c r="J184" s="63"/>
      <c r="K184" s="63"/>
      <c r="L184" s="63"/>
      <c r="M184" s="168"/>
      <c r="N184" s="63"/>
      <c r="O184" s="64"/>
      <c r="P184" s="64"/>
      <c r="Q184" s="64"/>
      <c r="R184" s="64"/>
      <c r="S184" s="64"/>
      <c r="T184" s="64"/>
      <c r="U184" s="64"/>
      <c r="V184" s="64"/>
      <c r="W184" s="64"/>
      <c r="X184" s="64"/>
      <c r="Y184" s="137"/>
      <c r="Z184" s="137"/>
      <c r="AA184" s="137"/>
      <c r="AB184" s="137"/>
      <c r="AC184" s="137"/>
    </row>
    <row r="185" spans="2:29" ht="15.75" customHeight="1">
      <c r="B185" s="68"/>
      <c r="C185" s="68"/>
      <c r="D185" s="63"/>
      <c r="E185" s="63"/>
      <c r="F185" s="63"/>
      <c r="G185" s="63"/>
      <c r="H185" s="63"/>
      <c r="I185" s="63"/>
      <c r="J185" s="63"/>
      <c r="K185" s="63"/>
      <c r="L185" s="63"/>
      <c r="M185" s="168"/>
      <c r="N185" s="63"/>
      <c r="O185" s="64"/>
      <c r="P185" s="64"/>
      <c r="Q185" s="64"/>
      <c r="R185" s="64"/>
      <c r="S185" s="64"/>
      <c r="T185" s="64"/>
      <c r="U185" s="64"/>
      <c r="V185" s="64"/>
      <c r="W185" s="64"/>
      <c r="X185" s="64"/>
      <c r="Y185" s="137"/>
      <c r="Z185" s="137"/>
      <c r="AA185" s="137"/>
      <c r="AB185" s="137"/>
      <c r="AC185" s="137"/>
    </row>
    <row r="186" spans="2:29" ht="15.75" customHeight="1">
      <c r="B186" s="68"/>
      <c r="C186" s="68"/>
      <c r="D186" s="63"/>
      <c r="E186" s="63"/>
      <c r="F186" s="63"/>
      <c r="G186" s="63"/>
      <c r="H186" s="63"/>
      <c r="I186" s="63"/>
      <c r="J186" s="63"/>
      <c r="K186" s="63"/>
      <c r="L186" s="63"/>
      <c r="M186" s="168"/>
      <c r="N186" s="63"/>
      <c r="O186" s="64"/>
      <c r="P186" s="64"/>
      <c r="Q186" s="64"/>
      <c r="R186" s="64"/>
      <c r="S186" s="64"/>
      <c r="T186" s="64"/>
      <c r="U186" s="64"/>
      <c r="V186" s="64"/>
      <c r="W186" s="64"/>
      <c r="X186" s="64"/>
      <c r="Y186" s="137"/>
      <c r="Z186" s="137"/>
      <c r="AA186" s="137"/>
      <c r="AB186" s="137"/>
      <c r="AC186" s="137"/>
    </row>
    <row r="187" spans="2:29" ht="15.75" customHeight="1">
      <c r="B187" s="68"/>
      <c r="C187" s="68"/>
      <c r="D187" s="63"/>
      <c r="E187" s="63"/>
      <c r="F187" s="63"/>
      <c r="G187" s="63"/>
      <c r="H187" s="63"/>
      <c r="I187" s="63"/>
      <c r="J187" s="63"/>
      <c r="K187" s="63"/>
      <c r="L187" s="63"/>
      <c r="M187" s="168"/>
      <c r="N187" s="63"/>
      <c r="O187" s="64"/>
      <c r="P187" s="64"/>
      <c r="Q187" s="64"/>
      <c r="R187" s="64"/>
      <c r="S187" s="64"/>
      <c r="T187" s="64"/>
      <c r="U187" s="64"/>
      <c r="V187" s="64"/>
      <c r="W187" s="64"/>
      <c r="X187" s="64"/>
      <c r="Y187" s="137"/>
      <c r="Z187" s="137"/>
      <c r="AA187" s="137"/>
      <c r="AB187" s="137"/>
      <c r="AC187" s="137"/>
    </row>
    <row r="188" spans="2:29" ht="15.75" customHeight="1">
      <c r="B188" s="68"/>
      <c r="C188" s="68"/>
      <c r="D188" s="63"/>
      <c r="E188" s="63"/>
      <c r="F188" s="63"/>
      <c r="G188" s="63"/>
      <c r="H188" s="63"/>
      <c r="I188" s="63"/>
      <c r="J188" s="63"/>
      <c r="K188" s="63"/>
      <c r="L188" s="63"/>
      <c r="M188" s="168"/>
      <c r="N188" s="63"/>
      <c r="O188" s="64"/>
      <c r="P188" s="64"/>
      <c r="Q188" s="64"/>
      <c r="R188" s="64"/>
      <c r="S188" s="64"/>
      <c r="T188" s="64"/>
      <c r="U188" s="64"/>
      <c r="V188" s="64"/>
      <c r="W188" s="64"/>
      <c r="X188" s="64"/>
      <c r="Y188" s="137"/>
      <c r="Z188" s="137"/>
      <c r="AA188" s="137"/>
      <c r="AB188" s="137"/>
      <c r="AC188" s="137"/>
    </row>
    <row r="189" spans="2:29" ht="15.75" customHeight="1">
      <c r="B189" s="68"/>
      <c r="C189" s="68"/>
      <c r="D189" s="63"/>
      <c r="E189" s="63"/>
      <c r="F189" s="63"/>
      <c r="G189" s="63"/>
      <c r="H189" s="63"/>
      <c r="I189" s="63"/>
      <c r="J189" s="63"/>
      <c r="K189" s="63"/>
      <c r="L189" s="63"/>
      <c r="M189" s="168"/>
      <c r="N189" s="63"/>
      <c r="O189" s="64"/>
      <c r="P189" s="64"/>
      <c r="Q189" s="64"/>
      <c r="R189" s="64"/>
      <c r="S189" s="64"/>
      <c r="T189" s="64"/>
      <c r="U189" s="64"/>
      <c r="V189" s="64"/>
      <c r="W189" s="64"/>
      <c r="X189" s="64"/>
      <c r="Y189" s="137"/>
      <c r="Z189" s="137"/>
      <c r="AA189" s="137"/>
      <c r="AB189" s="137"/>
      <c r="AC189" s="137"/>
    </row>
    <row r="190" spans="2:29" ht="15.75" customHeight="1">
      <c r="B190" s="68"/>
      <c r="C190" s="68"/>
      <c r="D190" s="63"/>
      <c r="E190" s="63"/>
      <c r="F190" s="63"/>
      <c r="G190" s="63"/>
      <c r="H190" s="63"/>
      <c r="I190" s="63"/>
      <c r="J190" s="63"/>
      <c r="K190" s="63"/>
      <c r="L190" s="63"/>
      <c r="M190" s="168"/>
      <c r="N190" s="63"/>
      <c r="O190" s="64"/>
      <c r="P190" s="64"/>
      <c r="Q190" s="64"/>
      <c r="R190" s="64"/>
      <c r="S190" s="64"/>
      <c r="T190" s="64"/>
      <c r="U190" s="64"/>
      <c r="V190" s="64"/>
      <c r="W190" s="64"/>
      <c r="X190" s="64"/>
      <c r="Y190" s="137"/>
      <c r="Z190" s="137"/>
      <c r="AA190" s="137"/>
      <c r="AB190" s="137"/>
      <c r="AC190" s="137"/>
    </row>
    <row r="191" spans="2:29" ht="15.75" customHeight="1">
      <c r="B191" s="68"/>
      <c r="C191" s="68"/>
      <c r="D191" s="63"/>
      <c r="E191" s="63"/>
      <c r="F191" s="63"/>
      <c r="G191" s="63"/>
      <c r="H191" s="63"/>
      <c r="I191" s="63"/>
      <c r="J191" s="63"/>
      <c r="K191" s="63"/>
      <c r="L191" s="63"/>
      <c r="M191" s="168"/>
      <c r="N191" s="63"/>
      <c r="O191" s="64"/>
      <c r="P191" s="64"/>
      <c r="Q191" s="64"/>
      <c r="R191" s="64"/>
      <c r="S191" s="64"/>
      <c r="T191" s="64"/>
      <c r="U191" s="64"/>
      <c r="V191" s="64"/>
      <c r="W191" s="64"/>
      <c r="X191" s="64"/>
      <c r="Y191" s="137"/>
      <c r="Z191" s="137"/>
      <c r="AA191" s="137"/>
      <c r="AB191" s="137"/>
      <c r="AC191" s="137"/>
    </row>
    <row r="192" spans="2:29" ht="15.75" customHeight="1">
      <c r="B192" s="68"/>
      <c r="C192" s="68"/>
      <c r="D192" s="63"/>
      <c r="E192" s="63"/>
      <c r="F192" s="63"/>
      <c r="G192" s="63"/>
      <c r="H192" s="63"/>
      <c r="I192" s="63"/>
      <c r="J192" s="63"/>
      <c r="K192" s="63"/>
      <c r="L192" s="63"/>
      <c r="M192" s="168"/>
      <c r="N192" s="63"/>
      <c r="O192" s="64"/>
      <c r="P192" s="64"/>
      <c r="Q192" s="64"/>
      <c r="R192" s="64"/>
      <c r="S192" s="64"/>
      <c r="T192" s="64"/>
      <c r="U192" s="64"/>
      <c r="V192" s="64"/>
      <c r="W192" s="64"/>
      <c r="X192" s="64"/>
      <c r="Y192" s="137"/>
      <c r="Z192" s="137"/>
      <c r="AA192" s="137"/>
      <c r="AB192" s="137"/>
      <c r="AC192" s="137"/>
    </row>
    <row r="193" spans="2:29" ht="15.75" customHeight="1">
      <c r="B193" s="68"/>
      <c r="C193" s="68"/>
      <c r="D193" s="63"/>
      <c r="E193" s="63"/>
      <c r="F193" s="63"/>
      <c r="G193" s="63"/>
      <c r="H193" s="63"/>
      <c r="I193" s="63"/>
      <c r="J193" s="63"/>
      <c r="K193" s="63"/>
      <c r="L193" s="63"/>
      <c r="M193" s="168"/>
      <c r="N193" s="63"/>
      <c r="O193" s="64"/>
      <c r="P193" s="64"/>
      <c r="Q193" s="64"/>
      <c r="R193" s="64"/>
      <c r="S193" s="64"/>
      <c r="T193" s="64"/>
      <c r="U193" s="64"/>
      <c r="V193" s="64"/>
      <c r="W193" s="64"/>
      <c r="X193" s="64"/>
      <c r="Y193" s="137"/>
      <c r="Z193" s="137"/>
      <c r="AA193" s="137"/>
      <c r="AB193" s="137"/>
      <c r="AC193" s="137"/>
    </row>
    <row r="194" spans="2:29" ht="15.75" customHeight="1">
      <c r="B194" s="68"/>
      <c r="C194" s="68"/>
      <c r="D194" s="63"/>
      <c r="E194" s="63"/>
      <c r="F194" s="63"/>
      <c r="G194" s="63"/>
      <c r="H194" s="63"/>
      <c r="I194" s="63"/>
      <c r="J194" s="63"/>
      <c r="K194" s="63"/>
      <c r="L194" s="63"/>
      <c r="M194" s="168"/>
      <c r="N194" s="63"/>
      <c r="O194" s="64"/>
      <c r="P194" s="64"/>
      <c r="Q194" s="64"/>
      <c r="R194" s="64"/>
      <c r="S194" s="64"/>
      <c r="T194" s="64"/>
      <c r="U194" s="64"/>
      <c r="V194" s="64"/>
      <c r="W194" s="64"/>
      <c r="X194" s="64"/>
      <c r="Y194" s="137"/>
      <c r="Z194" s="137"/>
      <c r="AA194" s="137"/>
      <c r="AB194" s="137"/>
      <c r="AC194" s="137"/>
    </row>
    <row r="195" spans="2:29" ht="15.75" customHeight="1">
      <c r="B195" s="68"/>
      <c r="C195" s="68"/>
      <c r="D195" s="63"/>
      <c r="E195" s="63"/>
      <c r="F195" s="63"/>
      <c r="G195" s="63"/>
      <c r="H195" s="63"/>
      <c r="I195" s="63"/>
      <c r="J195" s="63"/>
      <c r="K195" s="63"/>
      <c r="L195" s="63"/>
      <c r="M195" s="168"/>
      <c r="N195" s="63"/>
      <c r="O195" s="64"/>
      <c r="P195" s="64"/>
      <c r="Q195" s="64"/>
      <c r="R195" s="64"/>
      <c r="S195" s="64"/>
      <c r="T195" s="64"/>
      <c r="U195" s="64"/>
      <c r="V195" s="64"/>
      <c r="W195" s="64"/>
      <c r="X195" s="64"/>
      <c r="Y195" s="137"/>
      <c r="Z195" s="137"/>
      <c r="AA195" s="137"/>
      <c r="AB195" s="137"/>
      <c r="AC195" s="137"/>
    </row>
    <row r="196" spans="2:29" ht="15.75" customHeight="1">
      <c r="B196" s="68"/>
      <c r="C196" s="68"/>
      <c r="D196" s="63"/>
      <c r="E196" s="63"/>
      <c r="F196" s="63"/>
      <c r="G196" s="63"/>
      <c r="H196" s="63"/>
      <c r="I196" s="63"/>
      <c r="J196" s="63"/>
      <c r="K196" s="63"/>
      <c r="L196" s="63"/>
      <c r="M196" s="168"/>
      <c r="N196" s="63"/>
      <c r="O196" s="64"/>
      <c r="P196" s="64"/>
      <c r="Q196" s="64"/>
      <c r="R196" s="64"/>
      <c r="S196" s="64"/>
      <c r="T196" s="64"/>
      <c r="U196" s="64"/>
      <c r="V196" s="64"/>
      <c r="W196" s="64"/>
      <c r="X196" s="64"/>
      <c r="Y196" s="137"/>
      <c r="Z196" s="137"/>
      <c r="AA196" s="137"/>
      <c r="AB196" s="137"/>
      <c r="AC196" s="137"/>
    </row>
    <row r="197" spans="2:29" ht="15.75" customHeight="1">
      <c r="B197" s="68"/>
      <c r="C197" s="68"/>
      <c r="D197" s="63"/>
      <c r="E197" s="63"/>
      <c r="F197" s="63"/>
      <c r="G197" s="63"/>
      <c r="H197" s="63"/>
      <c r="I197" s="63"/>
      <c r="J197" s="63"/>
      <c r="K197" s="63"/>
      <c r="L197" s="63"/>
      <c r="M197" s="168"/>
      <c r="N197" s="63"/>
      <c r="O197" s="64"/>
      <c r="P197" s="64"/>
      <c r="Q197" s="64"/>
      <c r="R197" s="64"/>
      <c r="S197" s="64"/>
      <c r="T197" s="64"/>
      <c r="U197" s="64"/>
      <c r="V197" s="64"/>
      <c r="W197" s="64"/>
      <c r="X197" s="64"/>
      <c r="Y197" s="137"/>
      <c r="Z197" s="137"/>
      <c r="AA197" s="137"/>
      <c r="AB197" s="137"/>
      <c r="AC197" s="137"/>
    </row>
    <row r="198" spans="2:29" ht="15.75" customHeight="1">
      <c r="B198" s="68"/>
      <c r="C198" s="68"/>
      <c r="D198" s="63"/>
      <c r="E198" s="63"/>
      <c r="F198" s="63"/>
      <c r="G198" s="63"/>
      <c r="H198" s="63"/>
      <c r="I198" s="63"/>
      <c r="J198" s="63"/>
      <c r="K198" s="63"/>
      <c r="L198" s="63"/>
      <c r="M198" s="168"/>
      <c r="N198" s="63"/>
      <c r="O198" s="64"/>
      <c r="P198" s="64"/>
      <c r="Q198" s="64"/>
      <c r="R198" s="64"/>
      <c r="S198" s="64"/>
      <c r="T198" s="64"/>
      <c r="U198" s="64"/>
      <c r="V198" s="64"/>
      <c r="W198" s="64"/>
      <c r="X198" s="64"/>
      <c r="Y198" s="137"/>
      <c r="Z198" s="137"/>
      <c r="AA198" s="137"/>
      <c r="AB198" s="137"/>
      <c r="AC198" s="137"/>
    </row>
    <row r="199" spans="2:29" ht="15.75" customHeight="1">
      <c r="B199" s="68"/>
      <c r="C199" s="68"/>
      <c r="D199" s="63"/>
      <c r="E199" s="63"/>
      <c r="F199" s="63"/>
      <c r="G199" s="63"/>
      <c r="H199" s="63"/>
      <c r="I199" s="63"/>
      <c r="J199" s="63"/>
      <c r="K199" s="63"/>
      <c r="L199" s="63"/>
      <c r="M199" s="168"/>
      <c r="N199" s="63"/>
      <c r="O199" s="64"/>
      <c r="P199" s="64"/>
      <c r="Q199" s="64"/>
      <c r="R199" s="64"/>
      <c r="S199" s="64"/>
      <c r="T199" s="64"/>
      <c r="U199" s="64"/>
      <c r="V199" s="64"/>
      <c r="W199" s="64"/>
      <c r="X199" s="64"/>
      <c r="Y199" s="137"/>
      <c r="Z199" s="137"/>
      <c r="AA199" s="137"/>
      <c r="AB199" s="137"/>
      <c r="AC199" s="137"/>
    </row>
    <row r="200" spans="2:29" ht="15.75" customHeight="1">
      <c r="B200" s="68"/>
      <c r="C200" s="68"/>
      <c r="D200" s="63"/>
      <c r="E200" s="63"/>
      <c r="F200" s="63"/>
      <c r="G200" s="63"/>
      <c r="H200" s="63"/>
      <c r="I200" s="63"/>
      <c r="J200" s="63"/>
      <c r="K200" s="63"/>
      <c r="L200" s="63"/>
      <c r="M200" s="168"/>
      <c r="N200" s="63"/>
      <c r="O200" s="64"/>
      <c r="P200" s="64"/>
      <c r="Q200" s="64"/>
      <c r="R200" s="64"/>
      <c r="S200" s="64"/>
      <c r="T200" s="64"/>
      <c r="U200" s="64"/>
      <c r="V200" s="64"/>
      <c r="W200" s="64"/>
      <c r="X200" s="64"/>
      <c r="Y200" s="137"/>
      <c r="Z200" s="137"/>
      <c r="AA200" s="137"/>
      <c r="AB200" s="137"/>
      <c r="AC200" s="137"/>
    </row>
    <row r="201" spans="2:29" ht="15.75" customHeight="1">
      <c r="B201" s="68"/>
      <c r="C201" s="68"/>
      <c r="D201" s="63"/>
      <c r="E201" s="63"/>
      <c r="F201" s="63"/>
      <c r="G201" s="63"/>
      <c r="H201" s="63"/>
      <c r="I201" s="63"/>
      <c r="J201" s="63"/>
      <c r="K201" s="63"/>
      <c r="L201" s="63"/>
      <c r="M201" s="168"/>
      <c r="N201" s="63"/>
      <c r="O201" s="64"/>
      <c r="P201" s="64"/>
      <c r="Q201" s="64"/>
      <c r="R201" s="64"/>
      <c r="S201" s="64"/>
      <c r="T201" s="64"/>
      <c r="U201" s="64"/>
      <c r="V201" s="64"/>
      <c r="W201" s="64"/>
      <c r="X201" s="64"/>
      <c r="Y201" s="137"/>
      <c r="Z201" s="137"/>
      <c r="AA201" s="137"/>
      <c r="AB201" s="137"/>
      <c r="AC201" s="137"/>
    </row>
    <row r="202" spans="2:29" ht="15.75" customHeight="1">
      <c r="B202" s="68"/>
      <c r="C202" s="68"/>
      <c r="D202" s="63"/>
      <c r="E202" s="63"/>
      <c r="F202" s="63"/>
      <c r="G202" s="63"/>
      <c r="H202" s="63"/>
      <c r="I202" s="63"/>
      <c r="J202" s="63"/>
      <c r="K202" s="63"/>
      <c r="L202" s="63"/>
      <c r="M202" s="168"/>
      <c r="N202" s="63"/>
      <c r="O202" s="64"/>
      <c r="P202" s="64"/>
      <c r="Q202" s="64"/>
      <c r="R202" s="64"/>
      <c r="S202" s="64"/>
      <c r="T202" s="64"/>
      <c r="U202" s="64"/>
      <c r="V202" s="64"/>
      <c r="W202" s="64"/>
      <c r="X202" s="64"/>
      <c r="Y202" s="137"/>
      <c r="Z202" s="137"/>
      <c r="AA202" s="137"/>
      <c r="AB202" s="137"/>
      <c r="AC202" s="137"/>
    </row>
    <row r="203" spans="2:29" ht="15.75" customHeight="1">
      <c r="B203" s="68"/>
      <c r="C203" s="68"/>
      <c r="D203" s="63"/>
      <c r="E203" s="63"/>
      <c r="F203" s="63"/>
      <c r="G203" s="63"/>
      <c r="H203" s="63"/>
      <c r="I203" s="63"/>
      <c r="J203" s="63"/>
      <c r="K203" s="63"/>
      <c r="L203" s="63"/>
      <c r="M203" s="168"/>
      <c r="N203" s="63"/>
      <c r="O203" s="64"/>
      <c r="P203" s="64"/>
      <c r="Q203" s="64"/>
      <c r="R203" s="64"/>
      <c r="S203" s="64"/>
      <c r="T203" s="64"/>
      <c r="U203" s="64"/>
      <c r="V203" s="64"/>
      <c r="W203" s="64"/>
      <c r="X203" s="64"/>
      <c r="Y203" s="137"/>
      <c r="Z203" s="137"/>
      <c r="AA203" s="137"/>
      <c r="AB203" s="137"/>
      <c r="AC203" s="137"/>
    </row>
    <row r="204" spans="2:29" ht="15.75" customHeight="1">
      <c r="B204" s="68"/>
      <c r="C204" s="68"/>
      <c r="D204" s="63"/>
      <c r="E204" s="63"/>
      <c r="F204" s="63"/>
      <c r="G204" s="63"/>
      <c r="H204" s="63"/>
      <c r="I204" s="63"/>
      <c r="J204" s="63"/>
      <c r="K204" s="63"/>
      <c r="L204" s="63"/>
      <c r="M204" s="168"/>
      <c r="N204" s="63"/>
      <c r="O204" s="64"/>
      <c r="P204" s="64"/>
      <c r="Q204" s="64"/>
      <c r="R204" s="64"/>
      <c r="S204" s="64"/>
      <c r="T204" s="64"/>
      <c r="U204" s="64"/>
      <c r="V204" s="64"/>
      <c r="W204" s="64"/>
      <c r="X204" s="64"/>
      <c r="Y204" s="137"/>
      <c r="Z204" s="137"/>
      <c r="AA204" s="137"/>
      <c r="AB204" s="137"/>
      <c r="AC204" s="137"/>
    </row>
    <row r="205" spans="2:29" ht="15.75" customHeight="1">
      <c r="B205" s="68"/>
      <c r="C205" s="68"/>
      <c r="D205" s="63"/>
      <c r="E205" s="63"/>
      <c r="F205" s="63"/>
      <c r="G205" s="63"/>
      <c r="H205" s="63"/>
      <c r="I205" s="63"/>
      <c r="J205" s="63"/>
      <c r="K205" s="63"/>
      <c r="L205" s="63"/>
      <c r="M205" s="168"/>
      <c r="N205" s="63"/>
      <c r="O205" s="64"/>
      <c r="P205" s="64"/>
      <c r="Q205" s="64"/>
      <c r="R205" s="64"/>
      <c r="S205" s="64"/>
      <c r="T205" s="64"/>
      <c r="U205" s="64"/>
      <c r="V205" s="64"/>
      <c r="W205" s="64"/>
      <c r="X205" s="64"/>
      <c r="Y205" s="137"/>
      <c r="Z205" s="137"/>
      <c r="AA205" s="137"/>
      <c r="AB205" s="137"/>
      <c r="AC205" s="137"/>
    </row>
    <row r="206" spans="2:29" ht="15.75" customHeight="1">
      <c r="B206" s="68"/>
      <c r="C206" s="68"/>
      <c r="D206" s="63"/>
      <c r="E206" s="63"/>
      <c r="F206" s="63"/>
      <c r="G206" s="63"/>
      <c r="H206" s="63"/>
      <c r="I206" s="63"/>
      <c r="J206" s="63"/>
      <c r="K206" s="63"/>
      <c r="L206" s="63"/>
      <c r="M206" s="168"/>
      <c r="N206" s="63"/>
      <c r="O206" s="64"/>
      <c r="P206" s="64"/>
      <c r="Q206" s="64"/>
      <c r="R206" s="64"/>
      <c r="S206" s="64"/>
      <c r="T206" s="64"/>
      <c r="U206" s="64"/>
      <c r="V206" s="64"/>
      <c r="W206" s="64"/>
      <c r="X206" s="64"/>
      <c r="Y206" s="137"/>
      <c r="Z206" s="137"/>
      <c r="AA206" s="137"/>
      <c r="AB206" s="137"/>
      <c r="AC206" s="137"/>
    </row>
    <row r="207" spans="2:29" ht="15.75" customHeight="1">
      <c r="B207" s="68"/>
      <c r="C207" s="68"/>
      <c r="D207" s="63"/>
      <c r="E207" s="63"/>
      <c r="F207" s="63"/>
      <c r="G207" s="63"/>
      <c r="H207" s="63"/>
      <c r="I207" s="63"/>
      <c r="J207" s="63"/>
      <c r="K207" s="63"/>
      <c r="L207" s="63"/>
      <c r="M207" s="168"/>
      <c r="N207" s="63"/>
      <c r="O207" s="64"/>
      <c r="P207" s="64"/>
      <c r="Q207" s="64"/>
      <c r="R207" s="64"/>
      <c r="S207" s="64"/>
      <c r="T207" s="64"/>
      <c r="U207" s="64"/>
      <c r="V207" s="64"/>
      <c r="W207" s="64"/>
      <c r="X207" s="64"/>
      <c r="Y207" s="137"/>
      <c r="Z207" s="137"/>
      <c r="AA207" s="137"/>
      <c r="AB207" s="137"/>
      <c r="AC207" s="137"/>
    </row>
    <row r="208" spans="2:29" ht="15.75" customHeight="1">
      <c r="B208" s="68"/>
      <c r="C208" s="68"/>
      <c r="D208" s="63"/>
      <c r="E208" s="63"/>
      <c r="F208" s="63"/>
      <c r="G208" s="63"/>
      <c r="H208" s="63"/>
      <c r="I208" s="63"/>
      <c r="J208" s="63"/>
      <c r="K208" s="63"/>
      <c r="L208" s="63"/>
      <c r="M208" s="168"/>
      <c r="N208" s="63"/>
      <c r="O208" s="64"/>
      <c r="P208" s="64"/>
      <c r="Q208" s="64"/>
      <c r="R208" s="64"/>
      <c r="S208" s="64"/>
      <c r="T208" s="64"/>
      <c r="U208" s="64"/>
      <c r="V208" s="64"/>
      <c r="W208" s="64"/>
      <c r="X208" s="64"/>
      <c r="Y208" s="137"/>
      <c r="Z208" s="137"/>
      <c r="AA208" s="137"/>
      <c r="AB208" s="137"/>
      <c r="AC208" s="137"/>
    </row>
    <row r="209" spans="2:29" ht="15.75" customHeight="1">
      <c r="B209" s="68"/>
      <c r="C209" s="68"/>
      <c r="D209" s="63"/>
      <c r="E209" s="63"/>
      <c r="F209" s="63"/>
      <c r="G209" s="63"/>
      <c r="H209" s="63"/>
      <c r="I209" s="63"/>
      <c r="J209" s="63"/>
      <c r="K209" s="63"/>
      <c r="L209" s="63"/>
      <c r="M209" s="168"/>
      <c r="N209" s="63"/>
      <c r="O209" s="64"/>
      <c r="P209" s="64"/>
      <c r="Q209" s="64"/>
      <c r="R209" s="64"/>
      <c r="S209" s="64"/>
      <c r="T209" s="64"/>
      <c r="U209" s="64"/>
      <c r="V209" s="64"/>
      <c r="W209" s="64"/>
      <c r="X209" s="64"/>
      <c r="Y209" s="137"/>
      <c r="Z209" s="137"/>
      <c r="AA209" s="137"/>
      <c r="AB209" s="137"/>
      <c r="AC209" s="137"/>
    </row>
    <row r="210" spans="2:29" ht="15.75" customHeight="1">
      <c r="B210" s="68"/>
      <c r="C210" s="68"/>
      <c r="D210" s="63"/>
      <c r="E210" s="63"/>
      <c r="F210" s="63"/>
      <c r="G210" s="63"/>
      <c r="H210" s="63"/>
      <c r="I210" s="63"/>
      <c r="J210" s="63"/>
      <c r="K210" s="63"/>
      <c r="L210" s="63"/>
      <c r="M210" s="168"/>
      <c r="N210" s="63"/>
      <c r="O210" s="64"/>
      <c r="P210" s="64"/>
      <c r="Q210" s="64"/>
      <c r="R210" s="64"/>
      <c r="S210" s="64"/>
      <c r="T210" s="64"/>
      <c r="U210" s="64"/>
      <c r="V210" s="64"/>
      <c r="W210" s="64"/>
      <c r="X210" s="64"/>
      <c r="Y210" s="137"/>
      <c r="Z210" s="137"/>
      <c r="AA210" s="137"/>
      <c r="AB210" s="137"/>
      <c r="AC210" s="137"/>
    </row>
    <row r="211" spans="2:29" ht="15.75" customHeight="1">
      <c r="B211" s="68"/>
      <c r="C211" s="68"/>
      <c r="D211" s="63"/>
      <c r="E211" s="63"/>
      <c r="F211" s="63"/>
      <c r="G211" s="63"/>
      <c r="H211" s="63"/>
      <c r="I211" s="63"/>
      <c r="J211" s="63"/>
      <c r="K211" s="63"/>
      <c r="L211" s="63"/>
      <c r="M211" s="168"/>
      <c r="N211" s="63"/>
      <c r="O211" s="64"/>
      <c r="P211" s="64"/>
      <c r="Q211" s="64"/>
      <c r="R211" s="64"/>
      <c r="S211" s="64"/>
      <c r="T211" s="64"/>
      <c r="U211" s="64"/>
      <c r="V211" s="64"/>
      <c r="W211" s="64"/>
      <c r="X211" s="64"/>
      <c r="Y211" s="137"/>
      <c r="Z211" s="137"/>
      <c r="AA211" s="137"/>
      <c r="AB211" s="137"/>
      <c r="AC211" s="137"/>
    </row>
    <row r="212" spans="2:29" ht="15.75" customHeight="1">
      <c r="B212" s="68"/>
      <c r="C212" s="68"/>
      <c r="D212" s="63"/>
      <c r="E212" s="63"/>
      <c r="F212" s="63"/>
      <c r="G212" s="63"/>
      <c r="H212" s="63"/>
      <c r="I212" s="63"/>
      <c r="J212" s="63"/>
      <c r="K212" s="63"/>
      <c r="L212" s="63"/>
      <c r="M212" s="168"/>
      <c r="N212" s="63"/>
      <c r="O212" s="64"/>
      <c r="P212" s="64"/>
      <c r="Q212" s="64"/>
      <c r="R212" s="64"/>
      <c r="S212" s="64"/>
      <c r="T212" s="64"/>
      <c r="U212" s="64"/>
      <c r="V212" s="64"/>
      <c r="W212" s="64"/>
      <c r="X212" s="64"/>
      <c r="Y212" s="137"/>
      <c r="Z212" s="137"/>
      <c r="AA212" s="137"/>
      <c r="AB212" s="137"/>
      <c r="AC212" s="137"/>
    </row>
    <row r="213" spans="2:29" ht="15.75" customHeight="1">
      <c r="B213" s="68"/>
      <c r="C213" s="68"/>
      <c r="D213" s="63"/>
      <c r="E213" s="63"/>
      <c r="F213" s="63"/>
      <c r="G213" s="63"/>
      <c r="H213" s="63"/>
      <c r="I213" s="63"/>
      <c r="J213" s="63"/>
      <c r="K213" s="63"/>
      <c r="L213" s="63"/>
      <c r="M213" s="168"/>
      <c r="N213" s="63"/>
      <c r="O213" s="64"/>
      <c r="P213" s="64"/>
      <c r="Q213" s="64"/>
      <c r="R213" s="64"/>
      <c r="S213" s="64"/>
      <c r="T213" s="64"/>
      <c r="U213" s="64"/>
      <c r="V213" s="64"/>
      <c r="W213" s="64"/>
      <c r="X213" s="64"/>
      <c r="Y213" s="137"/>
      <c r="Z213" s="137"/>
      <c r="AA213" s="137"/>
      <c r="AB213" s="137"/>
      <c r="AC213" s="137"/>
    </row>
    <row r="214" spans="2:29" ht="15.75" customHeight="1">
      <c r="B214" s="68"/>
      <c r="C214" s="68"/>
      <c r="D214" s="63"/>
      <c r="E214" s="63"/>
      <c r="F214" s="63"/>
      <c r="G214" s="63"/>
      <c r="H214" s="63"/>
      <c r="I214" s="63"/>
      <c r="J214" s="63"/>
      <c r="K214" s="63"/>
      <c r="L214" s="63"/>
      <c r="M214" s="168"/>
      <c r="N214" s="63"/>
      <c r="O214" s="64"/>
      <c r="P214" s="64"/>
      <c r="Q214" s="64"/>
      <c r="R214" s="64"/>
      <c r="S214" s="64"/>
      <c r="T214" s="64"/>
      <c r="U214" s="64"/>
      <c r="V214" s="64"/>
      <c r="W214" s="64"/>
      <c r="X214" s="64"/>
      <c r="Y214" s="137"/>
      <c r="Z214" s="137"/>
      <c r="AA214" s="137"/>
      <c r="AB214" s="137"/>
      <c r="AC214" s="137"/>
    </row>
    <row r="215" spans="2:29" ht="15.75" customHeight="1">
      <c r="B215" s="68"/>
      <c r="C215" s="68"/>
      <c r="D215" s="63"/>
      <c r="E215" s="63"/>
      <c r="F215" s="63"/>
      <c r="G215" s="63"/>
      <c r="H215" s="63"/>
      <c r="I215" s="63"/>
      <c r="J215" s="63"/>
      <c r="K215" s="63"/>
      <c r="L215" s="63"/>
      <c r="M215" s="168"/>
      <c r="N215" s="63"/>
      <c r="O215" s="64"/>
      <c r="P215" s="64"/>
      <c r="Q215" s="64"/>
      <c r="R215" s="64"/>
      <c r="S215" s="64"/>
      <c r="T215" s="64"/>
      <c r="U215" s="64"/>
      <c r="V215" s="64"/>
      <c r="W215" s="64"/>
      <c r="X215" s="64"/>
      <c r="Y215" s="137"/>
      <c r="Z215" s="137"/>
      <c r="AA215" s="137"/>
      <c r="AB215" s="137"/>
      <c r="AC215" s="137"/>
    </row>
    <row r="216" spans="2:29" ht="15.75" customHeight="1">
      <c r="B216" s="68"/>
      <c r="C216" s="68"/>
      <c r="D216" s="63"/>
      <c r="E216" s="63"/>
      <c r="F216" s="63"/>
      <c r="G216" s="63"/>
      <c r="H216" s="63"/>
      <c r="I216" s="63"/>
      <c r="J216" s="63"/>
      <c r="K216" s="63"/>
      <c r="L216" s="63"/>
      <c r="M216" s="168"/>
      <c r="N216" s="63"/>
      <c r="O216" s="64"/>
      <c r="P216" s="64"/>
      <c r="Q216" s="64"/>
      <c r="R216" s="64"/>
      <c r="S216" s="64"/>
      <c r="T216" s="64"/>
      <c r="U216" s="64"/>
      <c r="V216" s="64"/>
      <c r="W216" s="64"/>
      <c r="X216" s="64"/>
      <c r="Y216" s="137"/>
      <c r="Z216" s="137"/>
      <c r="AA216" s="137"/>
      <c r="AB216" s="137"/>
      <c r="AC216" s="137"/>
    </row>
    <row r="217" spans="2:29" ht="15.75" customHeight="1">
      <c r="B217" s="68"/>
      <c r="C217" s="68"/>
      <c r="D217" s="63"/>
      <c r="E217" s="63"/>
      <c r="F217" s="63"/>
      <c r="G217" s="63"/>
      <c r="H217" s="63"/>
      <c r="I217" s="63"/>
      <c r="J217" s="63"/>
      <c r="K217" s="63"/>
      <c r="L217" s="63"/>
      <c r="M217" s="168"/>
      <c r="N217" s="63"/>
      <c r="O217" s="64"/>
      <c r="P217" s="64"/>
      <c r="Q217" s="64"/>
      <c r="R217" s="64"/>
      <c r="S217" s="64"/>
      <c r="T217" s="64"/>
      <c r="U217" s="64"/>
      <c r="V217" s="64"/>
      <c r="W217" s="64"/>
      <c r="X217" s="64"/>
      <c r="Y217" s="137"/>
      <c r="Z217" s="137"/>
      <c r="AA217" s="137"/>
      <c r="AB217" s="137"/>
      <c r="AC217" s="137"/>
    </row>
    <row r="218" spans="2:29" ht="15.75" customHeight="1">
      <c r="B218" s="68"/>
      <c r="C218" s="68"/>
      <c r="D218" s="63"/>
      <c r="E218" s="63"/>
      <c r="F218" s="63"/>
      <c r="G218" s="63"/>
      <c r="H218" s="63"/>
      <c r="I218" s="63"/>
      <c r="J218" s="63"/>
      <c r="K218" s="63"/>
      <c r="L218" s="63"/>
      <c r="M218" s="168"/>
      <c r="N218" s="63"/>
      <c r="O218" s="64"/>
      <c r="P218" s="64"/>
      <c r="Q218" s="64"/>
      <c r="R218" s="64"/>
      <c r="S218" s="64"/>
      <c r="T218" s="64"/>
      <c r="U218" s="64"/>
      <c r="V218" s="64"/>
      <c r="W218" s="64"/>
      <c r="X218" s="64"/>
      <c r="Y218" s="137"/>
      <c r="Z218" s="137"/>
      <c r="AA218" s="137"/>
      <c r="AB218" s="137"/>
      <c r="AC218" s="137"/>
    </row>
    <row r="219" spans="2:29" ht="15.75" customHeight="1">
      <c r="B219" s="68"/>
      <c r="C219" s="68"/>
      <c r="D219" s="63"/>
      <c r="E219" s="63"/>
      <c r="F219" s="63"/>
      <c r="G219" s="63"/>
      <c r="H219" s="63"/>
      <c r="I219" s="63"/>
      <c r="J219" s="63"/>
      <c r="K219" s="63"/>
      <c r="L219" s="63"/>
      <c r="M219" s="168"/>
      <c r="N219" s="63"/>
      <c r="O219" s="64"/>
      <c r="P219" s="64"/>
      <c r="Q219" s="64"/>
      <c r="R219" s="64"/>
      <c r="S219" s="64"/>
      <c r="T219" s="64"/>
      <c r="U219" s="64"/>
      <c r="V219" s="64"/>
      <c r="W219" s="64"/>
      <c r="X219" s="64"/>
      <c r="Y219" s="137"/>
      <c r="Z219" s="137"/>
      <c r="AA219" s="137"/>
      <c r="AB219" s="137"/>
      <c r="AC219" s="137"/>
    </row>
    <row r="220" spans="2:29" ht="15.75" customHeight="1">
      <c r="B220" s="68"/>
      <c r="C220" s="68"/>
      <c r="D220" s="63"/>
      <c r="E220" s="63"/>
      <c r="F220" s="63"/>
      <c r="G220" s="63"/>
      <c r="H220" s="63"/>
      <c r="I220" s="63"/>
      <c r="J220" s="63"/>
      <c r="K220" s="63"/>
      <c r="L220" s="63"/>
      <c r="M220" s="168"/>
      <c r="N220" s="63"/>
      <c r="O220" s="64"/>
      <c r="P220" s="64"/>
      <c r="Q220" s="64"/>
      <c r="R220" s="64"/>
      <c r="S220" s="64"/>
      <c r="T220" s="64"/>
      <c r="U220" s="64"/>
      <c r="V220" s="64"/>
      <c r="W220" s="64"/>
      <c r="X220" s="64"/>
      <c r="Y220" s="137"/>
      <c r="Z220" s="137"/>
      <c r="AA220" s="137"/>
      <c r="AB220" s="137"/>
      <c r="AC220" s="137"/>
    </row>
    <row r="221" spans="2:29" ht="15.75" customHeight="1">
      <c r="B221" s="68"/>
      <c r="C221" s="68"/>
      <c r="D221" s="63"/>
      <c r="E221" s="63"/>
      <c r="F221" s="63"/>
      <c r="G221" s="63"/>
      <c r="H221" s="63"/>
      <c r="I221" s="63"/>
      <c r="J221" s="63"/>
      <c r="K221" s="63"/>
      <c r="L221" s="63"/>
      <c r="M221" s="168"/>
      <c r="N221" s="63"/>
      <c r="O221" s="64"/>
      <c r="P221" s="64"/>
      <c r="Q221" s="64"/>
      <c r="R221" s="64"/>
      <c r="S221" s="64"/>
      <c r="T221" s="64"/>
      <c r="U221" s="64"/>
      <c r="V221" s="64"/>
      <c r="W221" s="64"/>
      <c r="X221" s="64"/>
      <c r="Y221" s="137"/>
      <c r="Z221" s="137"/>
      <c r="AA221" s="137"/>
      <c r="AB221" s="137"/>
      <c r="AC221" s="137"/>
    </row>
    <row r="222" spans="2:29" ht="15.75" customHeight="1">
      <c r="B222" s="68"/>
      <c r="C222" s="68"/>
      <c r="D222" s="63"/>
      <c r="E222" s="63"/>
      <c r="F222" s="63"/>
      <c r="G222" s="63"/>
      <c r="H222" s="63"/>
      <c r="I222" s="63"/>
      <c r="J222" s="63"/>
      <c r="K222" s="63"/>
      <c r="L222" s="63"/>
      <c r="M222" s="168"/>
      <c r="N222" s="63"/>
      <c r="O222" s="64"/>
      <c r="P222" s="64"/>
      <c r="Q222" s="64"/>
      <c r="R222" s="64"/>
      <c r="S222" s="64"/>
      <c r="T222" s="64"/>
      <c r="U222" s="64"/>
      <c r="V222" s="64"/>
      <c r="W222" s="64"/>
      <c r="X222" s="64"/>
      <c r="Y222" s="137"/>
      <c r="Z222" s="137"/>
      <c r="AA222" s="137"/>
      <c r="AB222" s="137"/>
      <c r="AC222" s="137"/>
    </row>
    <row r="223" spans="2:29" ht="15.75" customHeight="1">
      <c r="B223" s="68"/>
      <c r="C223" s="68"/>
      <c r="D223" s="63"/>
      <c r="E223" s="63"/>
      <c r="F223" s="63"/>
      <c r="G223" s="63"/>
      <c r="H223" s="63"/>
      <c r="I223" s="63"/>
      <c r="J223" s="63"/>
      <c r="K223" s="63"/>
      <c r="L223" s="63"/>
      <c r="M223" s="168"/>
      <c r="N223" s="63"/>
      <c r="O223" s="64"/>
      <c r="P223" s="64"/>
      <c r="Q223" s="64"/>
      <c r="R223" s="64"/>
      <c r="S223" s="64"/>
      <c r="T223" s="64"/>
      <c r="U223" s="64"/>
      <c r="V223" s="64"/>
      <c r="W223" s="64"/>
      <c r="X223" s="64"/>
      <c r="Y223" s="137"/>
      <c r="Z223" s="137"/>
      <c r="AA223" s="137"/>
      <c r="AB223" s="137"/>
      <c r="AC223" s="137"/>
    </row>
    <row r="224" spans="2:29" ht="15.75" customHeight="1">
      <c r="B224" s="68"/>
      <c r="C224" s="68"/>
      <c r="D224" s="63"/>
      <c r="E224" s="63"/>
      <c r="F224" s="63"/>
      <c r="G224" s="63"/>
      <c r="H224" s="63"/>
      <c r="I224" s="63"/>
      <c r="J224" s="63"/>
      <c r="K224" s="63"/>
      <c r="L224" s="63"/>
      <c r="M224" s="168"/>
      <c r="N224" s="63"/>
      <c r="O224" s="64"/>
      <c r="P224" s="64"/>
      <c r="Q224" s="64"/>
      <c r="R224" s="64"/>
      <c r="S224" s="64"/>
      <c r="T224" s="64"/>
      <c r="U224" s="64"/>
      <c r="V224" s="64"/>
      <c r="W224" s="64"/>
      <c r="X224" s="64"/>
      <c r="Y224" s="137"/>
      <c r="Z224" s="137"/>
      <c r="AA224" s="137"/>
      <c r="AB224" s="137"/>
      <c r="AC224" s="137"/>
    </row>
    <row r="225" spans="2:29" ht="15.75" customHeight="1">
      <c r="B225" s="68"/>
      <c r="C225" s="68"/>
      <c r="D225" s="63"/>
      <c r="E225" s="63"/>
      <c r="F225" s="63"/>
      <c r="G225" s="63"/>
      <c r="H225" s="63"/>
      <c r="I225" s="63"/>
      <c r="J225" s="63"/>
      <c r="K225" s="63"/>
      <c r="L225" s="63"/>
      <c r="M225" s="168"/>
      <c r="N225" s="63"/>
      <c r="O225" s="64"/>
      <c r="P225" s="64"/>
      <c r="Q225" s="64"/>
      <c r="R225" s="64"/>
      <c r="S225" s="64"/>
      <c r="T225" s="64"/>
      <c r="U225" s="64"/>
      <c r="V225" s="64"/>
      <c r="W225" s="64"/>
      <c r="X225" s="64"/>
      <c r="Y225" s="137"/>
      <c r="Z225" s="137"/>
      <c r="AA225" s="137"/>
      <c r="AB225" s="137"/>
      <c r="AC225" s="137"/>
    </row>
    <row r="226" spans="2:29" ht="15.75" customHeight="1">
      <c r="B226" s="68"/>
      <c r="C226" s="68"/>
      <c r="D226" s="63"/>
      <c r="E226" s="63"/>
      <c r="F226" s="63"/>
      <c r="G226" s="63"/>
      <c r="H226" s="63"/>
      <c r="I226" s="63"/>
      <c r="J226" s="63"/>
      <c r="K226" s="63"/>
      <c r="L226" s="63"/>
      <c r="M226" s="168"/>
      <c r="N226" s="63"/>
      <c r="O226" s="64"/>
      <c r="P226" s="64"/>
      <c r="Q226" s="64"/>
      <c r="R226" s="64"/>
      <c r="S226" s="64"/>
      <c r="T226" s="64"/>
      <c r="U226" s="64"/>
      <c r="V226" s="64"/>
      <c r="W226" s="64"/>
      <c r="X226" s="64"/>
      <c r="Y226" s="137"/>
      <c r="Z226" s="137"/>
      <c r="AA226" s="137"/>
      <c r="AB226" s="137"/>
      <c r="AC226" s="137"/>
    </row>
    <row r="227" spans="2:29" ht="15.75" customHeight="1">
      <c r="B227" s="68"/>
      <c r="C227" s="68"/>
      <c r="D227" s="63"/>
      <c r="E227" s="63"/>
      <c r="F227" s="63"/>
      <c r="G227" s="63"/>
      <c r="H227" s="63"/>
      <c r="I227" s="63"/>
      <c r="J227" s="63"/>
      <c r="K227" s="63"/>
      <c r="L227" s="63"/>
      <c r="M227" s="168"/>
      <c r="N227" s="63"/>
      <c r="O227" s="64"/>
      <c r="P227" s="64"/>
      <c r="Q227" s="64"/>
      <c r="R227" s="64"/>
      <c r="S227" s="64"/>
      <c r="T227" s="64"/>
      <c r="U227" s="64"/>
      <c r="V227" s="64"/>
      <c r="W227" s="64"/>
      <c r="X227" s="64"/>
      <c r="Y227" s="137"/>
      <c r="Z227" s="137"/>
      <c r="AA227" s="137"/>
      <c r="AB227" s="137"/>
      <c r="AC227" s="137"/>
    </row>
    <row r="228" spans="2:29" ht="15.75" customHeight="1">
      <c r="B228" s="68"/>
      <c r="C228" s="68"/>
      <c r="D228" s="63"/>
      <c r="E228" s="63"/>
      <c r="F228" s="63"/>
      <c r="G228" s="63"/>
      <c r="H228" s="63"/>
      <c r="I228" s="63"/>
      <c r="J228" s="63"/>
      <c r="K228" s="63"/>
      <c r="L228" s="63"/>
      <c r="M228" s="168"/>
      <c r="N228" s="63"/>
      <c r="O228" s="64"/>
      <c r="P228" s="64"/>
      <c r="Q228" s="64"/>
      <c r="R228" s="64"/>
      <c r="S228" s="64"/>
      <c r="T228" s="64"/>
      <c r="U228" s="64"/>
      <c r="V228" s="64"/>
      <c r="W228" s="64"/>
      <c r="X228" s="64"/>
      <c r="Y228" s="137"/>
      <c r="Z228" s="137"/>
      <c r="AA228" s="137"/>
      <c r="AB228" s="137"/>
      <c r="AC228" s="137"/>
    </row>
    <row r="229" spans="2:29" ht="15.75" customHeight="1">
      <c r="B229" s="68"/>
      <c r="C229" s="68"/>
      <c r="D229" s="63"/>
      <c r="E229" s="63"/>
      <c r="F229" s="63"/>
      <c r="G229" s="63"/>
      <c r="H229" s="63"/>
      <c r="I229" s="63"/>
      <c r="J229" s="63"/>
      <c r="K229" s="63"/>
      <c r="L229" s="63"/>
      <c r="M229" s="168"/>
      <c r="N229" s="63"/>
      <c r="O229" s="64"/>
      <c r="P229" s="64"/>
      <c r="Q229" s="64"/>
      <c r="R229" s="64"/>
      <c r="S229" s="64"/>
      <c r="T229" s="64"/>
      <c r="U229" s="64"/>
      <c r="V229" s="64"/>
      <c r="W229" s="64"/>
      <c r="X229" s="64"/>
      <c r="Y229" s="137"/>
      <c r="Z229" s="137"/>
      <c r="AA229" s="137"/>
      <c r="AB229" s="137"/>
      <c r="AC229" s="137"/>
    </row>
    <row r="230" spans="2:29" ht="15.75" customHeight="1">
      <c r="B230" s="68"/>
      <c r="C230" s="68"/>
      <c r="D230" s="63"/>
      <c r="E230" s="63"/>
      <c r="F230" s="63"/>
      <c r="G230" s="63"/>
      <c r="H230" s="63"/>
      <c r="I230" s="63"/>
      <c r="J230" s="63"/>
      <c r="K230" s="63"/>
      <c r="L230" s="63"/>
      <c r="M230" s="168"/>
      <c r="N230" s="63"/>
      <c r="O230" s="64"/>
      <c r="P230" s="64"/>
      <c r="Q230" s="64"/>
      <c r="R230" s="64"/>
      <c r="S230" s="64"/>
      <c r="T230" s="64"/>
      <c r="U230" s="64"/>
      <c r="V230" s="64"/>
      <c r="W230" s="64"/>
      <c r="X230" s="64"/>
      <c r="Y230" s="137"/>
      <c r="Z230" s="137"/>
      <c r="AA230" s="137"/>
      <c r="AB230" s="137"/>
      <c r="AC230" s="137"/>
    </row>
    <row r="231" spans="2:29" ht="15.75" customHeight="1">
      <c r="B231" s="68"/>
      <c r="C231" s="68"/>
      <c r="D231" s="63"/>
      <c r="E231" s="63"/>
      <c r="F231" s="63"/>
      <c r="G231" s="63"/>
      <c r="H231" s="63"/>
      <c r="I231" s="63"/>
      <c r="J231" s="63"/>
      <c r="K231" s="63"/>
      <c r="L231" s="63"/>
      <c r="M231" s="168"/>
      <c r="N231" s="63"/>
      <c r="O231" s="64"/>
      <c r="P231" s="64"/>
      <c r="Q231" s="64"/>
      <c r="R231" s="64"/>
      <c r="S231" s="64"/>
      <c r="T231" s="64"/>
      <c r="U231" s="64"/>
      <c r="V231" s="64"/>
      <c r="W231" s="64"/>
      <c r="X231" s="64"/>
      <c r="Y231" s="137"/>
      <c r="Z231" s="137"/>
      <c r="AA231" s="137"/>
      <c r="AB231" s="137"/>
      <c r="AC231" s="137"/>
    </row>
    <row r="232" spans="2:29" ht="15.75" customHeight="1">
      <c r="B232" s="68"/>
      <c r="C232" s="68"/>
      <c r="D232" s="63"/>
      <c r="E232" s="63"/>
      <c r="F232" s="63"/>
      <c r="G232" s="63"/>
      <c r="H232" s="63"/>
      <c r="I232" s="63"/>
      <c r="J232" s="63"/>
      <c r="K232" s="63"/>
      <c r="L232" s="63"/>
      <c r="M232" s="168"/>
      <c r="N232" s="63"/>
      <c r="O232" s="64"/>
      <c r="P232" s="64"/>
      <c r="Q232" s="64"/>
      <c r="R232" s="64"/>
      <c r="S232" s="64"/>
      <c r="T232" s="64"/>
      <c r="U232" s="64"/>
      <c r="V232" s="64"/>
      <c r="W232" s="64"/>
      <c r="X232" s="64"/>
      <c r="Y232" s="137"/>
      <c r="Z232" s="137"/>
      <c r="AA232" s="137"/>
      <c r="AB232" s="137"/>
      <c r="AC232" s="137"/>
    </row>
    <row r="233" spans="2:29" ht="15.75" customHeight="1">
      <c r="B233" s="68"/>
      <c r="C233" s="68"/>
      <c r="D233" s="63"/>
      <c r="E233" s="63"/>
      <c r="F233" s="63"/>
      <c r="G233" s="63"/>
      <c r="H233" s="63"/>
      <c r="I233" s="63"/>
      <c r="J233" s="63"/>
      <c r="K233" s="63"/>
      <c r="L233" s="63"/>
      <c r="M233" s="168"/>
      <c r="N233" s="63"/>
      <c r="O233" s="64"/>
      <c r="P233" s="64"/>
      <c r="Q233" s="64"/>
      <c r="R233" s="64"/>
      <c r="S233" s="64"/>
      <c r="T233" s="64"/>
      <c r="U233" s="64"/>
      <c r="V233" s="64"/>
      <c r="W233" s="64"/>
      <c r="X233" s="64"/>
      <c r="Y233" s="137"/>
      <c r="Z233" s="137"/>
      <c r="AA233" s="137"/>
      <c r="AB233" s="137"/>
      <c r="AC233" s="137"/>
    </row>
    <row r="234" spans="2:29" ht="15.75" customHeight="1">
      <c r="B234" s="68"/>
      <c r="C234" s="68"/>
      <c r="D234" s="63"/>
      <c r="E234" s="63"/>
      <c r="F234" s="63"/>
      <c r="G234" s="63"/>
      <c r="H234" s="63"/>
      <c r="I234" s="63"/>
      <c r="J234" s="63"/>
      <c r="K234" s="63"/>
      <c r="L234" s="63"/>
      <c r="M234" s="168"/>
      <c r="N234" s="63"/>
      <c r="O234" s="64"/>
      <c r="P234" s="64"/>
      <c r="Q234" s="64"/>
      <c r="R234" s="64"/>
      <c r="S234" s="64"/>
      <c r="T234" s="64"/>
      <c r="U234" s="64"/>
      <c r="V234" s="64"/>
      <c r="W234" s="64"/>
      <c r="X234" s="64"/>
      <c r="Y234" s="137"/>
      <c r="Z234" s="137"/>
      <c r="AA234" s="137"/>
      <c r="AB234" s="137"/>
      <c r="AC234" s="137"/>
    </row>
    <row r="235" spans="2:29" ht="15.75" customHeight="1">
      <c r="B235" s="68"/>
      <c r="C235" s="68"/>
      <c r="D235" s="63"/>
      <c r="E235" s="63"/>
      <c r="F235" s="63"/>
      <c r="G235" s="63"/>
      <c r="H235" s="63"/>
      <c r="I235" s="63"/>
      <c r="J235" s="63"/>
      <c r="K235" s="63"/>
      <c r="L235" s="63"/>
      <c r="M235" s="168"/>
      <c r="N235" s="63"/>
      <c r="O235" s="64"/>
      <c r="P235" s="64"/>
      <c r="Q235" s="64"/>
      <c r="R235" s="64"/>
      <c r="S235" s="64"/>
      <c r="T235" s="64"/>
      <c r="U235" s="64"/>
      <c r="V235" s="64"/>
      <c r="W235" s="64"/>
      <c r="X235" s="64"/>
      <c r="Y235" s="137"/>
      <c r="Z235" s="137"/>
      <c r="AA235" s="137"/>
      <c r="AB235" s="137"/>
      <c r="AC235" s="137"/>
    </row>
    <row r="236" spans="2:29" ht="15.75" customHeight="1">
      <c r="B236" s="68"/>
      <c r="C236" s="68"/>
      <c r="D236" s="63"/>
      <c r="E236" s="63"/>
      <c r="F236" s="63"/>
      <c r="G236" s="63"/>
      <c r="H236" s="63"/>
      <c r="I236" s="63"/>
      <c r="J236" s="63"/>
      <c r="K236" s="63"/>
      <c r="L236" s="63"/>
      <c r="M236" s="168"/>
      <c r="N236" s="63"/>
      <c r="O236" s="64"/>
      <c r="P236" s="64"/>
      <c r="Q236" s="64"/>
      <c r="R236" s="64"/>
      <c r="S236" s="64"/>
      <c r="T236" s="64"/>
      <c r="U236" s="64"/>
      <c r="V236" s="64"/>
      <c r="W236" s="64"/>
      <c r="X236" s="64"/>
      <c r="Y236" s="137"/>
      <c r="Z236" s="137"/>
      <c r="AA236" s="137"/>
      <c r="AB236" s="137"/>
      <c r="AC236" s="137"/>
    </row>
    <row r="237" spans="2:29" ht="15.75" customHeight="1">
      <c r="B237" s="68"/>
      <c r="C237" s="68"/>
      <c r="D237" s="63"/>
      <c r="E237" s="63"/>
      <c r="F237" s="63"/>
      <c r="G237" s="63"/>
      <c r="H237" s="63"/>
      <c r="I237" s="63"/>
      <c r="J237" s="63"/>
      <c r="K237" s="63"/>
      <c r="L237" s="63"/>
      <c r="M237" s="168"/>
      <c r="N237" s="63"/>
      <c r="O237" s="64"/>
      <c r="P237" s="64"/>
      <c r="Q237" s="64"/>
      <c r="R237" s="64"/>
      <c r="S237" s="64"/>
      <c r="T237" s="64"/>
      <c r="U237" s="64"/>
      <c r="V237" s="64"/>
      <c r="W237" s="64"/>
      <c r="X237" s="64"/>
      <c r="Y237" s="137"/>
      <c r="Z237" s="137"/>
      <c r="AA237" s="137"/>
      <c r="AB237" s="137"/>
      <c r="AC237" s="137"/>
    </row>
    <row r="238" spans="2:29" ht="15.75" customHeight="1">
      <c r="B238" s="68"/>
      <c r="C238" s="68"/>
      <c r="D238" s="63"/>
      <c r="E238" s="63"/>
      <c r="F238" s="63"/>
      <c r="G238" s="63"/>
      <c r="H238" s="63"/>
      <c r="I238" s="63"/>
      <c r="J238" s="63"/>
      <c r="K238" s="63"/>
      <c r="L238" s="63"/>
      <c r="M238" s="168"/>
      <c r="N238" s="63"/>
      <c r="O238" s="64"/>
      <c r="P238" s="64"/>
      <c r="Q238" s="64"/>
      <c r="R238" s="64"/>
      <c r="S238" s="64"/>
      <c r="T238" s="64"/>
      <c r="U238" s="64"/>
      <c r="V238" s="64"/>
      <c r="W238" s="64"/>
      <c r="X238" s="64"/>
      <c r="Y238" s="137"/>
      <c r="Z238" s="137"/>
      <c r="AA238" s="137"/>
      <c r="AB238" s="137"/>
      <c r="AC238" s="137"/>
    </row>
    <row r="239" spans="2:29" ht="15.75" customHeight="1">
      <c r="B239" s="68"/>
      <c r="C239" s="68"/>
      <c r="D239" s="63"/>
      <c r="E239" s="63"/>
      <c r="F239" s="63"/>
      <c r="G239" s="63"/>
      <c r="H239" s="63"/>
      <c r="I239" s="63"/>
      <c r="J239" s="63"/>
      <c r="K239" s="63"/>
      <c r="L239" s="63"/>
      <c r="M239" s="168"/>
      <c r="N239" s="63"/>
      <c r="O239" s="64"/>
      <c r="P239" s="64"/>
      <c r="Q239" s="64"/>
      <c r="R239" s="64"/>
      <c r="S239" s="64"/>
      <c r="T239" s="64"/>
      <c r="U239" s="64"/>
      <c r="V239" s="64"/>
      <c r="W239" s="64"/>
      <c r="X239" s="64"/>
      <c r="Y239" s="137"/>
      <c r="Z239" s="137"/>
      <c r="AA239" s="137"/>
      <c r="AB239" s="137"/>
      <c r="AC239" s="137"/>
    </row>
    <row r="240" spans="2:29" ht="15.75" customHeight="1">
      <c r="B240" s="68"/>
      <c r="C240" s="68"/>
      <c r="D240" s="63"/>
      <c r="E240" s="63"/>
      <c r="F240" s="63"/>
      <c r="G240" s="63"/>
      <c r="H240" s="63"/>
      <c r="I240" s="63"/>
      <c r="J240" s="63"/>
      <c r="K240" s="63"/>
      <c r="L240" s="63"/>
      <c r="M240" s="168"/>
      <c r="N240" s="63"/>
      <c r="O240" s="64"/>
      <c r="P240" s="64"/>
      <c r="Q240" s="64"/>
      <c r="R240" s="64"/>
      <c r="S240" s="64"/>
      <c r="T240" s="64"/>
      <c r="U240" s="64"/>
      <c r="V240" s="64"/>
      <c r="W240" s="64"/>
      <c r="X240" s="64"/>
      <c r="Y240" s="137"/>
      <c r="Z240" s="137"/>
      <c r="AA240" s="137"/>
      <c r="AB240" s="137"/>
      <c r="AC240" s="137"/>
    </row>
    <row r="241" spans="2:29" ht="15.75" customHeight="1">
      <c r="B241" s="68"/>
      <c r="C241" s="68"/>
      <c r="D241" s="63"/>
      <c r="E241" s="63"/>
      <c r="F241" s="63"/>
      <c r="G241" s="63"/>
      <c r="H241" s="63"/>
      <c r="I241" s="63"/>
      <c r="J241" s="63"/>
      <c r="K241" s="63"/>
      <c r="L241" s="63"/>
      <c r="M241" s="168"/>
      <c r="N241" s="63"/>
      <c r="O241" s="64"/>
      <c r="P241" s="64"/>
      <c r="Q241" s="64"/>
      <c r="R241" s="64"/>
      <c r="S241" s="64"/>
      <c r="T241" s="64"/>
      <c r="U241" s="64"/>
      <c r="V241" s="64"/>
      <c r="W241" s="64"/>
      <c r="X241" s="64"/>
      <c r="Y241" s="137"/>
      <c r="Z241" s="137"/>
      <c r="AA241" s="137"/>
      <c r="AB241" s="137"/>
      <c r="AC241" s="137"/>
    </row>
    <row r="242" spans="2:29" ht="15.75" customHeight="1">
      <c r="B242" s="68"/>
      <c r="C242" s="68"/>
      <c r="D242" s="63"/>
      <c r="E242" s="63"/>
      <c r="F242" s="63"/>
      <c r="G242" s="63"/>
      <c r="H242" s="63"/>
      <c r="I242" s="63"/>
      <c r="J242" s="63"/>
      <c r="K242" s="63"/>
      <c r="L242" s="63"/>
      <c r="M242" s="168"/>
      <c r="N242" s="63"/>
      <c r="O242" s="64"/>
      <c r="P242" s="64"/>
      <c r="Q242" s="64"/>
      <c r="R242" s="64"/>
      <c r="S242" s="64"/>
      <c r="T242" s="64"/>
      <c r="U242" s="64"/>
      <c r="V242" s="64"/>
      <c r="W242" s="64"/>
      <c r="X242" s="64"/>
      <c r="Y242" s="137"/>
      <c r="Z242" s="137"/>
      <c r="AA242" s="137"/>
      <c r="AB242" s="137"/>
      <c r="AC242" s="137"/>
    </row>
    <row r="243" spans="2:29" ht="15.75" customHeight="1">
      <c r="B243" s="68"/>
      <c r="C243" s="68"/>
      <c r="D243" s="63"/>
      <c r="E243" s="63"/>
      <c r="F243" s="63"/>
      <c r="G243" s="63"/>
      <c r="H243" s="63"/>
      <c r="I243" s="63"/>
      <c r="J243" s="63"/>
      <c r="K243" s="63"/>
      <c r="L243" s="63"/>
      <c r="M243" s="168"/>
      <c r="N243" s="63"/>
      <c r="O243" s="64"/>
      <c r="P243" s="64"/>
      <c r="Q243" s="64"/>
      <c r="R243" s="64"/>
      <c r="S243" s="64"/>
      <c r="T243" s="64"/>
      <c r="U243" s="64"/>
      <c r="V243" s="64"/>
      <c r="W243" s="64"/>
      <c r="X243" s="64"/>
      <c r="Y243" s="137"/>
      <c r="Z243" s="137"/>
      <c r="AA243" s="137"/>
      <c r="AB243" s="137"/>
      <c r="AC243" s="137"/>
    </row>
    <row r="244" spans="2:29" ht="15.75" customHeight="1">
      <c r="B244" s="68"/>
      <c r="C244" s="68"/>
      <c r="D244" s="63"/>
      <c r="E244" s="63"/>
      <c r="F244" s="63"/>
      <c r="G244" s="63"/>
      <c r="H244" s="63"/>
      <c r="I244" s="63"/>
      <c r="J244" s="63"/>
      <c r="K244" s="63"/>
      <c r="L244" s="63"/>
      <c r="M244" s="168"/>
      <c r="N244" s="63"/>
      <c r="O244" s="64"/>
      <c r="P244" s="64"/>
      <c r="Q244" s="64"/>
      <c r="R244" s="64"/>
      <c r="S244" s="64"/>
      <c r="T244" s="64"/>
      <c r="U244" s="64"/>
      <c r="V244" s="64"/>
      <c r="W244" s="64"/>
      <c r="X244" s="64"/>
      <c r="Y244" s="137"/>
      <c r="Z244" s="137"/>
      <c r="AA244" s="137"/>
      <c r="AB244" s="137"/>
      <c r="AC244" s="137"/>
    </row>
    <row r="245" spans="2:29" ht="15.75" customHeight="1">
      <c r="B245" s="68"/>
      <c r="C245" s="68"/>
      <c r="D245" s="63"/>
      <c r="E245" s="63"/>
      <c r="F245" s="63"/>
      <c r="G245" s="63"/>
      <c r="H245" s="63"/>
      <c r="I245" s="63"/>
      <c r="J245" s="63"/>
      <c r="K245" s="63"/>
      <c r="L245" s="63"/>
      <c r="M245" s="168"/>
      <c r="N245" s="63"/>
      <c r="O245" s="64"/>
      <c r="P245" s="64"/>
      <c r="Q245" s="64"/>
      <c r="R245" s="64"/>
      <c r="S245" s="64"/>
      <c r="T245" s="64"/>
      <c r="U245" s="64"/>
      <c r="V245" s="64"/>
      <c r="W245" s="64"/>
      <c r="X245" s="64"/>
      <c r="Y245" s="137"/>
      <c r="Z245" s="137"/>
      <c r="AA245" s="137"/>
      <c r="AB245" s="137"/>
      <c r="AC245" s="137"/>
    </row>
    <row r="246" spans="2:29" ht="15.75" customHeight="1">
      <c r="B246" s="68"/>
      <c r="C246" s="68"/>
      <c r="D246" s="63"/>
      <c r="E246" s="63"/>
      <c r="F246" s="63"/>
      <c r="G246" s="63"/>
      <c r="H246" s="63"/>
      <c r="I246" s="63"/>
      <c r="J246" s="63"/>
      <c r="K246" s="63"/>
      <c r="L246" s="63"/>
      <c r="M246" s="168"/>
      <c r="N246" s="63"/>
      <c r="O246" s="64"/>
      <c r="P246" s="64"/>
      <c r="Q246" s="64"/>
      <c r="R246" s="64"/>
      <c r="S246" s="64"/>
      <c r="T246" s="64"/>
      <c r="U246" s="64"/>
      <c r="V246" s="64"/>
      <c r="W246" s="64"/>
      <c r="X246" s="64"/>
      <c r="Y246" s="137"/>
      <c r="Z246" s="137"/>
      <c r="AA246" s="137"/>
      <c r="AB246" s="137"/>
      <c r="AC246" s="137"/>
    </row>
    <row r="247" spans="2:29" ht="15.75" customHeight="1">
      <c r="B247" s="68"/>
      <c r="C247" s="68"/>
      <c r="D247" s="63"/>
      <c r="E247" s="63"/>
      <c r="F247" s="63"/>
      <c r="G247" s="63"/>
      <c r="H247" s="63"/>
      <c r="I247" s="63"/>
      <c r="J247" s="63"/>
      <c r="K247" s="63"/>
      <c r="L247" s="63"/>
      <c r="M247" s="168"/>
      <c r="N247" s="63"/>
      <c r="O247" s="64"/>
      <c r="P247" s="64"/>
      <c r="Q247" s="64"/>
      <c r="R247" s="64"/>
      <c r="S247" s="64"/>
      <c r="T247" s="64"/>
      <c r="U247" s="64"/>
      <c r="V247" s="64"/>
      <c r="W247" s="64"/>
      <c r="X247" s="64"/>
      <c r="Y247" s="137"/>
      <c r="Z247" s="137"/>
      <c r="AA247" s="137"/>
      <c r="AB247" s="137"/>
      <c r="AC247" s="137"/>
    </row>
    <row r="248" spans="2:29" ht="15.75" customHeight="1">
      <c r="B248" s="68"/>
      <c r="C248" s="68"/>
      <c r="D248" s="63"/>
      <c r="E248" s="63"/>
      <c r="F248" s="63"/>
      <c r="G248" s="63"/>
      <c r="H248" s="63"/>
      <c r="I248" s="63"/>
      <c r="J248" s="63"/>
      <c r="K248" s="63"/>
      <c r="L248" s="63"/>
      <c r="M248" s="168"/>
      <c r="N248" s="63"/>
      <c r="O248" s="64"/>
      <c r="P248" s="64"/>
      <c r="Q248" s="64"/>
      <c r="R248" s="64"/>
      <c r="S248" s="64"/>
      <c r="T248" s="64"/>
      <c r="U248" s="64"/>
      <c r="V248" s="64"/>
      <c r="W248" s="64"/>
      <c r="X248" s="64"/>
      <c r="Y248" s="137"/>
      <c r="Z248" s="137"/>
      <c r="AA248" s="137"/>
      <c r="AB248" s="137"/>
      <c r="AC248" s="137"/>
    </row>
    <row r="249" spans="2:29" ht="15.75" customHeight="1">
      <c r="B249" s="68"/>
      <c r="C249" s="68"/>
      <c r="D249" s="63"/>
      <c r="E249" s="63"/>
      <c r="F249" s="63"/>
      <c r="G249" s="63"/>
      <c r="H249" s="63"/>
      <c r="I249" s="63"/>
      <c r="J249" s="63"/>
      <c r="K249" s="63"/>
      <c r="L249" s="63"/>
      <c r="M249" s="168"/>
      <c r="N249" s="63"/>
      <c r="O249" s="64"/>
      <c r="P249" s="64"/>
      <c r="Q249" s="64"/>
      <c r="R249" s="64"/>
      <c r="S249" s="64"/>
      <c r="T249" s="64"/>
      <c r="U249" s="64"/>
      <c r="V249" s="64"/>
      <c r="W249" s="64"/>
      <c r="X249" s="64"/>
      <c r="Y249" s="137"/>
      <c r="Z249" s="137"/>
      <c r="AA249" s="137"/>
      <c r="AB249" s="137"/>
      <c r="AC249" s="137"/>
    </row>
    <row r="250" spans="2:29" ht="15.75" customHeight="1">
      <c r="B250" s="68"/>
      <c r="C250" s="68"/>
      <c r="D250" s="63"/>
      <c r="E250" s="63"/>
      <c r="F250" s="63"/>
      <c r="G250" s="63"/>
      <c r="H250" s="63"/>
      <c r="I250" s="63"/>
      <c r="J250" s="63"/>
      <c r="K250" s="63"/>
      <c r="L250" s="63"/>
      <c r="M250" s="168"/>
      <c r="N250" s="63"/>
      <c r="O250" s="64"/>
      <c r="P250" s="64"/>
      <c r="Q250" s="64"/>
      <c r="R250" s="64"/>
      <c r="S250" s="64"/>
      <c r="T250" s="64"/>
      <c r="U250" s="64"/>
      <c r="V250" s="64"/>
      <c r="W250" s="64"/>
      <c r="X250" s="64"/>
      <c r="Y250" s="137"/>
      <c r="Z250" s="137"/>
      <c r="AA250" s="137"/>
      <c r="AB250" s="137"/>
      <c r="AC250" s="137"/>
    </row>
    <row r="251" spans="2:29" ht="15.75" customHeight="1">
      <c r="B251" s="68"/>
      <c r="C251" s="68"/>
      <c r="D251" s="63"/>
      <c r="E251" s="63"/>
      <c r="F251" s="63"/>
      <c r="G251" s="63"/>
      <c r="H251" s="63"/>
      <c r="I251" s="63"/>
      <c r="J251" s="63"/>
      <c r="K251" s="63"/>
      <c r="L251" s="63"/>
      <c r="M251" s="168"/>
      <c r="N251" s="63"/>
      <c r="O251" s="64"/>
      <c r="P251" s="64"/>
      <c r="Q251" s="64"/>
      <c r="R251" s="64"/>
      <c r="S251" s="64"/>
      <c r="T251" s="64"/>
      <c r="U251" s="64"/>
      <c r="V251" s="64"/>
      <c r="W251" s="64"/>
      <c r="X251" s="64"/>
      <c r="Y251" s="137"/>
      <c r="Z251" s="137"/>
      <c r="AA251" s="137"/>
      <c r="AB251" s="137"/>
      <c r="AC251" s="137"/>
    </row>
    <row r="252" spans="2:29" ht="15.75" customHeight="1">
      <c r="B252" s="68"/>
      <c r="C252" s="68"/>
      <c r="D252" s="63"/>
      <c r="E252" s="63"/>
      <c r="F252" s="63"/>
      <c r="G252" s="63"/>
      <c r="H252" s="63"/>
      <c r="I252" s="63"/>
      <c r="J252" s="63"/>
      <c r="K252" s="63"/>
      <c r="L252" s="63"/>
      <c r="M252" s="168"/>
      <c r="N252" s="63"/>
      <c r="O252" s="64"/>
      <c r="P252" s="64"/>
      <c r="Q252" s="64"/>
      <c r="R252" s="64"/>
      <c r="S252" s="64"/>
      <c r="T252" s="64"/>
      <c r="U252" s="64"/>
      <c r="V252" s="64"/>
      <c r="W252" s="64"/>
      <c r="X252" s="64"/>
      <c r="Y252" s="137"/>
      <c r="Z252" s="137"/>
      <c r="AA252" s="137"/>
      <c r="AB252" s="137"/>
      <c r="AC252" s="137"/>
    </row>
    <row r="253" spans="2:29" ht="15.75" customHeight="1">
      <c r="B253" s="68"/>
      <c r="C253" s="68"/>
      <c r="D253" s="63"/>
      <c r="E253" s="63"/>
      <c r="F253" s="63"/>
      <c r="G253" s="63"/>
      <c r="H253" s="63"/>
      <c r="I253" s="63"/>
      <c r="J253" s="63"/>
      <c r="K253" s="63"/>
      <c r="L253" s="63"/>
      <c r="M253" s="168"/>
      <c r="N253" s="63"/>
      <c r="O253" s="64"/>
      <c r="P253" s="64"/>
      <c r="Q253" s="64"/>
      <c r="R253" s="64"/>
      <c r="S253" s="64"/>
      <c r="T253" s="64"/>
      <c r="U253" s="64"/>
      <c r="V253" s="64"/>
      <c r="W253" s="64"/>
      <c r="X253" s="64"/>
      <c r="Y253" s="137"/>
      <c r="Z253" s="137"/>
      <c r="AA253" s="137"/>
      <c r="AB253" s="137"/>
      <c r="AC253" s="137"/>
    </row>
    <row r="254" spans="2:29" ht="15.75" customHeight="1">
      <c r="B254" s="68"/>
      <c r="C254" s="68"/>
      <c r="D254" s="63"/>
      <c r="E254" s="63"/>
      <c r="F254" s="63"/>
      <c r="G254" s="63"/>
      <c r="H254" s="63"/>
      <c r="I254" s="63"/>
      <c r="J254" s="63"/>
      <c r="K254" s="63"/>
      <c r="L254" s="63"/>
      <c r="M254" s="168"/>
      <c r="N254" s="63"/>
      <c r="O254" s="64"/>
      <c r="P254" s="64"/>
      <c r="Q254" s="64"/>
      <c r="R254" s="64"/>
      <c r="S254" s="64"/>
      <c r="T254" s="64"/>
      <c r="U254" s="64"/>
      <c r="V254" s="64"/>
      <c r="W254" s="64"/>
      <c r="X254" s="64"/>
      <c r="Y254" s="137"/>
      <c r="Z254" s="137"/>
      <c r="AA254" s="137"/>
      <c r="AB254" s="137"/>
      <c r="AC254" s="137"/>
    </row>
    <row r="255" spans="2:29" ht="15.75" customHeight="1">
      <c r="B255" s="68"/>
      <c r="C255" s="68"/>
      <c r="D255" s="63"/>
      <c r="E255" s="63"/>
      <c r="F255" s="63"/>
      <c r="G255" s="63"/>
      <c r="H255" s="63"/>
      <c r="I255" s="63"/>
      <c r="J255" s="63"/>
      <c r="K255" s="63"/>
      <c r="L255" s="63"/>
      <c r="M255" s="168"/>
      <c r="N255" s="63"/>
      <c r="O255" s="64"/>
      <c r="P255" s="64"/>
      <c r="Q255" s="64"/>
      <c r="R255" s="64"/>
      <c r="S255" s="64"/>
      <c r="T255" s="64"/>
      <c r="U255" s="64"/>
      <c r="V255" s="64"/>
      <c r="W255" s="64"/>
      <c r="X255" s="64"/>
      <c r="Y255" s="137"/>
      <c r="Z255" s="137"/>
      <c r="AA255" s="137"/>
      <c r="AB255" s="137"/>
      <c r="AC255" s="137"/>
    </row>
    <row r="256" spans="2:29" ht="15.75" customHeight="1">
      <c r="B256" s="68"/>
      <c r="C256" s="68"/>
      <c r="D256" s="63"/>
      <c r="E256" s="63"/>
      <c r="F256" s="63"/>
      <c r="G256" s="63"/>
      <c r="H256" s="63"/>
      <c r="I256" s="63"/>
      <c r="J256" s="63"/>
      <c r="K256" s="63"/>
      <c r="L256" s="63"/>
      <c r="M256" s="168"/>
      <c r="N256" s="63"/>
      <c r="O256" s="64"/>
      <c r="P256" s="64"/>
      <c r="Q256" s="64"/>
      <c r="R256" s="64"/>
      <c r="S256" s="64"/>
      <c r="T256" s="64"/>
      <c r="U256" s="64"/>
      <c r="V256" s="64"/>
      <c r="W256" s="64"/>
      <c r="X256" s="64"/>
      <c r="Y256" s="137"/>
      <c r="Z256" s="137"/>
      <c r="AA256" s="137"/>
      <c r="AB256" s="137"/>
      <c r="AC256" s="137"/>
    </row>
    <row r="257" spans="2:29" ht="15.75" customHeight="1">
      <c r="B257" s="68"/>
      <c r="C257" s="68"/>
      <c r="D257" s="63"/>
      <c r="E257" s="63"/>
      <c r="F257" s="63"/>
      <c r="G257" s="63"/>
      <c r="H257" s="63"/>
      <c r="I257" s="63"/>
      <c r="J257" s="63"/>
      <c r="K257" s="63"/>
      <c r="L257" s="63"/>
      <c r="M257" s="168"/>
      <c r="N257" s="63"/>
      <c r="O257" s="64"/>
      <c r="P257" s="64"/>
      <c r="Q257" s="64"/>
      <c r="R257" s="64"/>
      <c r="S257" s="64"/>
      <c r="T257" s="64"/>
      <c r="U257" s="64"/>
      <c r="V257" s="64"/>
      <c r="W257" s="64"/>
      <c r="X257" s="64"/>
      <c r="Y257" s="137"/>
      <c r="Z257" s="137"/>
      <c r="AA257" s="137"/>
      <c r="AB257" s="137"/>
      <c r="AC257" s="137"/>
    </row>
    <row r="258" spans="2:29" ht="15.75" customHeight="1">
      <c r="B258" s="68"/>
      <c r="C258" s="68"/>
      <c r="D258" s="63"/>
      <c r="E258" s="63"/>
      <c r="F258" s="63"/>
      <c r="G258" s="63"/>
      <c r="H258" s="63"/>
      <c r="I258" s="63"/>
      <c r="J258" s="63"/>
      <c r="K258" s="63"/>
      <c r="L258" s="63"/>
      <c r="M258" s="168"/>
      <c r="N258" s="63"/>
      <c r="O258" s="64"/>
      <c r="P258" s="64"/>
      <c r="Q258" s="64"/>
      <c r="R258" s="64"/>
      <c r="S258" s="64"/>
      <c r="T258" s="64"/>
      <c r="U258" s="64"/>
      <c r="V258" s="64"/>
      <c r="W258" s="64"/>
      <c r="X258" s="64"/>
      <c r="Y258" s="137"/>
      <c r="Z258" s="137"/>
      <c r="AA258" s="137"/>
      <c r="AB258" s="137"/>
      <c r="AC258" s="137"/>
    </row>
    <row r="259" spans="2:29" ht="15.75" customHeight="1">
      <c r="B259" s="68"/>
      <c r="C259" s="68"/>
      <c r="D259" s="63"/>
      <c r="E259" s="63"/>
      <c r="F259" s="63"/>
      <c r="G259" s="63"/>
      <c r="H259" s="63"/>
      <c r="I259" s="63"/>
      <c r="J259" s="63"/>
      <c r="K259" s="63"/>
      <c r="L259" s="63"/>
      <c r="M259" s="168"/>
      <c r="N259" s="63"/>
      <c r="O259" s="64"/>
      <c r="P259" s="64"/>
      <c r="Q259" s="64"/>
      <c r="R259" s="64"/>
      <c r="S259" s="64"/>
      <c r="T259" s="64"/>
      <c r="U259" s="64"/>
      <c r="V259" s="64"/>
      <c r="W259" s="64"/>
      <c r="X259" s="64"/>
      <c r="Y259" s="137"/>
      <c r="Z259" s="137"/>
      <c r="AA259" s="137"/>
      <c r="AB259" s="137"/>
      <c r="AC259" s="137"/>
    </row>
    <row r="260" spans="2:29" ht="15.75" customHeight="1">
      <c r="B260" s="68"/>
      <c r="C260" s="68"/>
      <c r="D260" s="63"/>
      <c r="E260" s="63"/>
      <c r="F260" s="63"/>
      <c r="G260" s="63"/>
      <c r="H260" s="63"/>
      <c r="I260" s="63"/>
      <c r="J260" s="63"/>
      <c r="K260" s="63"/>
      <c r="L260" s="63"/>
      <c r="M260" s="168"/>
      <c r="N260" s="63"/>
      <c r="O260" s="64"/>
      <c r="P260" s="64"/>
      <c r="Q260" s="64"/>
      <c r="R260" s="64"/>
      <c r="S260" s="64"/>
      <c r="T260" s="64"/>
      <c r="U260" s="64"/>
      <c r="V260" s="64"/>
      <c r="W260" s="64"/>
      <c r="X260" s="64"/>
      <c r="Y260" s="137"/>
      <c r="Z260" s="137"/>
      <c r="AA260" s="137"/>
      <c r="AB260" s="137"/>
      <c r="AC260" s="137"/>
    </row>
    <row r="261" spans="2:29" ht="15.75" customHeight="1">
      <c r="B261" s="68"/>
      <c r="C261" s="68"/>
      <c r="D261" s="63"/>
      <c r="E261" s="63"/>
      <c r="F261" s="63"/>
      <c r="G261" s="63"/>
      <c r="H261" s="63"/>
      <c r="I261" s="63"/>
      <c r="J261" s="63"/>
      <c r="K261" s="63"/>
      <c r="L261" s="63"/>
      <c r="M261" s="168"/>
      <c r="N261" s="63"/>
      <c r="O261" s="64"/>
      <c r="P261" s="64"/>
      <c r="Q261" s="64"/>
      <c r="R261" s="64"/>
      <c r="S261" s="64"/>
      <c r="T261" s="64"/>
      <c r="U261" s="64"/>
      <c r="V261" s="64"/>
      <c r="W261" s="64"/>
      <c r="X261" s="64"/>
      <c r="Y261" s="137"/>
      <c r="Z261" s="137"/>
      <c r="AA261" s="137"/>
      <c r="AB261" s="137"/>
      <c r="AC261" s="137"/>
    </row>
    <row r="262" spans="2:29" ht="15.75" customHeight="1">
      <c r="B262" s="68"/>
      <c r="C262" s="68"/>
      <c r="D262" s="63"/>
      <c r="E262" s="63"/>
      <c r="F262" s="63"/>
      <c r="G262" s="63"/>
      <c r="H262" s="63"/>
      <c r="I262" s="63"/>
      <c r="J262" s="63"/>
      <c r="K262" s="63"/>
      <c r="L262" s="63"/>
      <c r="M262" s="168"/>
      <c r="N262" s="63"/>
      <c r="O262" s="64"/>
      <c r="P262" s="64"/>
      <c r="Q262" s="64"/>
      <c r="R262" s="64"/>
      <c r="S262" s="64"/>
      <c r="T262" s="64"/>
      <c r="U262" s="64"/>
      <c r="V262" s="64"/>
      <c r="W262" s="64"/>
      <c r="X262" s="64"/>
      <c r="Y262" s="137"/>
      <c r="Z262" s="137"/>
      <c r="AA262" s="137"/>
      <c r="AB262" s="137"/>
      <c r="AC262" s="137"/>
    </row>
    <row r="263" spans="2:29" ht="15.75" customHeight="1">
      <c r="B263" s="68"/>
      <c r="C263" s="68"/>
      <c r="D263" s="63"/>
      <c r="E263" s="63"/>
      <c r="F263" s="63"/>
      <c r="G263" s="63"/>
      <c r="H263" s="63"/>
      <c r="I263" s="63"/>
      <c r="J263" s="63"/>
      <c r="K263" s="63"/>
      <c r="L263" s="63"/>
      <c r="M263" s="168"/>
      <c r="N263" s="63"/>
      <c r="O263" s="64"/>
      <c r="P263" s="64"/>
      <c r="Q263" s="64"/>
      <c r="R263" s="64"/>
      <c r="S263" s="64"/>
      <c r="T263" s="64"/>
      <c r="U263" s="64"/>
      <c r="V263" s="64"/>
      <c r="W263" s="64"/>
      <c r="X263" s="64"/>
      <c r="Y263" s="137"/>
      <c r="Z263" s="137"/>
      <c r="AA263" s="137"/>
      <c r="AB263" s="137"/>
      <c r="AC263" s="137"/>
    </row>
    <row r="264" spans="2:29" ht="15.75" customHeight="1">
      <c r="B264" s="68"/>
      <c r="C264" s="68"/>
      <c r="D264" s="63"/>
      <c r="E264" s="63"/>
      <c r="F264" s="63"/>
      <c r="G264" s="63"/>
      <c r="H264" s="63"/>
      <c r="I264" s="63"/>
      <c r="J264" s="63"/>
      <c r="K264" s="63"/>
      <c r="L264" s="63"/>
      <c r="M264" s="168"/>
      <c r="N264" s="63"/>
      <c r="O264" s="64"/>
      <c r="P264" s="64"/>
      <c r="Q264" s="64"/>
      <c r="R264" s="64"/>
      <c r="S264" s="64"/>
      <c r="T264" s="64"/>
      <c r="U264" s="64"/>
      <c r="V264" s="64"/>
      <c r="W264" s="64"/>
      <c r="X264" s="64"/>
      <c r="Y264" s="137"/>
      <c r="Z264" s="137"/>
      <c r="AA264" s="137"/>
      <c r="AB264" s="137"/>
      <c r="AC264" s="137"/>
    </row>
    <row r="265" spans="2:29" ht="15.75" customHeight="1">
      <c r="B265" s="68"/>
      <c r="C265" s="68"/>
      <c r="D265" s="63"/>
      <c r="E265" s="63"/>
      <c r="F265" s="63"/>
      <c r="G265" s="63"/>
      <c r="H265" s="63"/>
      <c r="I265" s="63"/>
      <c r="J265" s="63"/>
      <c r="K265" s="63"/>
      <c r="L265" s="63"/>
      <c r="M265" s="168"/>
      <c r="N265" s="63"/>
      <c r="O265" s="64"/>
      <c r="P265" s="64"/>
      <c r="Q265" s="64"/>
      <c r="R265" s="64"/>
      <c r="S265" s="64"/>
      <c r="T265" s="64"/>
      <c r="U265" s="64"/>
      <c r="V265" s="64"/>
      <c r="W265" s="64"/>
      <c r="X265" s="64"/>
      <c r="Y265" s="137"/>
      <c r="Z265" s="137"/>
      <c r="AA265" s="137"/>
      <c r="AB265" s="137"/>
      <c r="AC265" s="137"/>
    </row>
    <row r="266" spans="2:29" ht="15.75" customHeight="1">
      <c r="B266" s="68"/>
      <c r="C266" s="68"/>
      <c r="D266" s="63"/>
      <c r="E266" s="63"/>
      <c r="F266" s="63"/>
      <c r="G266" s="63"/>
      <c r="H266" s="63"/>
      <c r="I266" s="63"/>
      <c r="J266" s="63"/>
      <c r="K266" s="63"/>
      <c r="L266" s="63"/>
      <c r="M266" s="168"/>
      <c r="N266" s="63"/>
      <c r="O266" s="64"/>
      <c r="P266" s="64"/>
      <c r="Q266" s="64"/>
      <c r="R266" s="64"/>
      <c r="S266" s="64"/>
      <c r="T266" s="64"/>
      <c r="U266" s="64"/>
      <c r="V266" s="64"/>
      <c r="W266" s="64"/>
      <c r="X266" s="64"/>
      <c r="Y266" s="137"/>
      <c r="Z266" s="137"/>
      <c r="AA266" s="137"/>
      <c r="AB266" s="137"/>
      <c r="AC266" s="137"/>
    </row>
    <row r="267" spans="2:29" ht="15.75" customHeight="1">
      <c r="B267" s="68"/>
      <c r="C267" s="68"/>
      <c r="D267" s="63"/>
      <c r="E267" s="63"/>
      <c r="F267" s="63"/>
      <c r="G267" s="63"/>
      <c r="H267" s="63"/>
      <c r="I267" s="63"/>
      <c r="J267" s="63"/>
      <c r="K267" s="63"/>
      <c r="L267" s="63"/>
      <c r="M267" s="168"/>
      <c r="N267" s="63"/>
      <c r="O267" s="64"/>
      <c r="P267" s="64"/>
      <c r="Q267" s="64"/>
      <c r="R267" s="64"/>
      <c r="S267" s="64"/>
      <c r="T267" s="64"/>
      <c r="U267" s="64"/>
      <c r="V267" s="64"/>
      <c r="W267" s="64"/>
      <c r="X267" s="64"/>
      <c r="Y267" s="137"/>
      <c r="Z267" s="137"/>
      <c r="AA267" s="137"/>
      <c r="AB267" s="137"/>
      <c r="AC267" s="137"/>
    </row>
    <row r="268" spans="2:29" ht="15.75" customHeight="1">
      <c r="B268" s="68"/>
      <c r="C268" s="68"/>
      <c r="D268" s="63"/>
      <c r="E268" s="63"/>
      <c r="F268" s="63"/>
      <c r="G268" s="63"/>
      <c r="H268" s="63"/>
      <c r="I268" s="63"/>
      <c r="J268" s="63"/>
      <c r="K268" s="63"/>
      <c r="L268" s="63"/>
      <c r="M268" s="168"/>
      <c r="N268" s="63"/>
      <c r="O268" s="64"/>
      <c r="P268" s="64"/>
      <c r="Q268" s="64"/>
      <c r="R268" s="64"/>
      <c r="S268" s="64"/>
      <c r="T268" s="64"/>
      <c r="U268" s="64"/>
      <c r="V268" s="64"/>
      <c r="W268" s="64"/>
      <c r="X268" s="64"/>
      <c r="Y268" s="137"/>
      <c r="Z268" s="137"/>
      <c r="AA268" s="137"/>
      <c r="AB268" s="137"/>
      <c r="AC268" s="137"/>
    </row>
    <row r="269" spans="2:29" ht="15.75" customHeight="1">
      <c r="B269" s="68"/>
      <c r="C269" s="68"/>
      <c r="D269" s="63"/>
      <c r="E269" s="63"/>
      <c r="F269" s="63"/>
      <c r="G269" s="63"/>
      <c r="H269" s="63"/>
      <c r="I269" s="63"/>
      <c r="J269" s="63"/>
      <c r="K269" s="63"/>
      <c r="L269" s="63"/>
      <c r="M269" s="168"/>
      <c r="N269" s="63"/>
      <c r="O269" s="64"/>
      <c r="P269" s="64"/>
      <c r="Q269" s="64"/>
      <c r="R269" s="64"/>
      <c r="S269" s="64"/>
      <c r="T269" s="64"/>
      <c r="U269" s="64"/>
      <c r="V269" s="64"/>
      <c r="W269" s="64"/>
      <c r="X269" s="64"/>
      <c r="Y269" s="137"/>
      <c r="Z269" s="137"/>
      <c r="AA269" s="137"/>
      <c r="AB269" s="137"/>
      <c r="AC269" s="137"/>
    </row>
    <row r="270" spans="2:29" ht="15.75" customHeight="1">
      <c r="B270" s="68"/>
      <c r="C270" s="68"/>
      <c r="D270" s="63"/>
      <c r="E270" s="63"/>
      <c r="F270" s="63"/>
      <c r="G270" s="63"/>
      <c r="H270" s="63"/>
      <c r="I270" s="63"/>
      <c r="J270" s="63"/>
      <c r="K270" s="63"/>
      <c r="L270" s="63"/>
      <c r="M270" s="168"/>
      <c r="N270" s="63"/>
      <c r="O270" s="64"/>
      <c r="P270" s="64"/>
      <c r="Q270" s="64"/>
      <c r="R270" s="64"/>
      <c r="S270" s="64"/>
      <c r="T270" s="64"/>
      <c r="U270" s="64"/>
      <c r="V270" s="64"/>
      <c r="W270" s="64"/>
      <c r="X270" s="64"/>
      <c r="Y270" s="137"/>
      <c r="Z270" s="137"/>
      <c r="AA270" s="137"/>
      <c r="AB270" s="137"/>
      <c r="AC270" s="137"/>
    </row>
    <row r="271" spans="2:29" ht="15.75" customHeight="1">
      <c r="B271" s="68"/>
      <c r="C271" s="68"/>
      <c r="D271" s="63"/>
      <c r="E271" s="63"/>
      <c r="F271" s="63"/>
      <c r="G271" s="63"/>
      <c r="H271" s="63"/>
      <c r="I271" s="63"/>
      <c r="J271" s="63"/>
      <c r="K271" s="63"/>
      <c r="L271" s="63"/>
      <c r="M271" s="168"/>
      <c r="N271" s="63"/>
      <c r="O271" s="64"/>
      <c r="P271" s="64"/>
      <c r="Q271" s="64"/>
      <c r="R271" s="64"/>
      <c r="S271" s="64"/>
      <c r="T271" s="64"/>
      <c r="U271" s="64"/>
      <c r="V271" s="64"/>
      <c r="W271" s="64"/>
      <c r="X271" s="64"/>
      <c r="Y271" s="137"/>
      <c r="Z271" s="137"/>
      <c r="AA271" s="137"/>
      <c r="AB271" s="137"/>
      <c r="AC271" s="137"/>
    </row>
    <row r="272" spans="2:29" ht="15.75" customHeight="1">
      <c r="B272" s="68"/>
      <c r="C272" s="68"/>
      <c r="D272" s="63"/>
      <c r="E272" s="63"/>
      <c r="F272" s="63"/>
      <c r="G272" s="63"/>
      <c r="H272" s="63"/>
      <c r="I272" s="63"/>
      <c r="J272" s="63"/>
      <c r="K272" s="63"/>
      <c r="L272" s="63"/>
      <c r="M272" s="168"/>
      <c r="N272" s="63"/>
      <c r="O272" s="64"/>
      <c r="P272" s="64"/>
      <c r="Q272" s="64"/>
      <c r="R272" s="64"/>
      <c r="S272" s="64"/>
      <c r="T272" s="64"/>
      <c r="U272" s="64"/>
      <c r="V272" s="64"/>
      <c r="W272" s="64"/>
      <c r="X272" s="64"/>
      <c r="Y272" s="137"/>
      <c r="Z272" s="137"/>
      <c r="AA272" s="137"/>
      <c r="AB272" s="137"/>
      <c r="AC272" s="137"/>
    </row>
    <row r="273" spans="2:29" ht="15.75" customHeight="1">
      <c r="B273" s="68"/>
      <c r="C273" s="68"/>
      <c r="D273" s="63"/>
      <c r="E273" s="63"/>
      <c r="F273" s="63"/>
      <c r="G273" s="63"/>
      <c r="H273" s="63"/>
      <c r="I273" s="63"/>
      <c r="J273" s="63"/>
      <c r="K273" s="63"/>
      <c r="L273" s="63"/>
      <c r="M273" s="168"/>
      <c r="N273" s="63"/>
      <c r="O273" s="64"/>
      <c r="P273" s="64"/>
      <c r="Q273" s="64"/>
      <c r="R273" s="64"/>
      <c r="S273" s="64"/>
      <c r="T273" s="64"/>
      <c r="U273" s="64"/>
      <c r="V273" s="64"/>
      <c r="W273" s="64"/>
      <c r="X273" s="64"/>
      <c r="Y273" s="137"/>
      <c r="Z273" s="137"/>
      <c r="AA273" s="137"/>
      <c r="AB273" s="137"/>
      <c r="AC273" s="137"/>
    </row>
    <row r="274" spans="2:29" ht="15.75" customHeight="1">
      <c r="B274" s="68"/>
      <c r="C274" s="68"/>
      <c r="D274" s="63"/>
      <c r="E274" s="63"/>
      <c r="F274" s="63"/>
      <c r="G274" s="63"/>
      <c r="H274" s="63"/>
      <c r="I274" s="63"/>
      <c r="J274" s="63"/>
      <c r="K274" s="63"/>
      <c r="L274" s="63"/>
      <c r="M274" s="168"/>
      <c r="N274" s="63"/>
      <c r="O274" s="64"/>
      <c r="P274" s="64"/>
      <c r="Q274" s="64"/>
      <c r="R274" s="64"/>
      <c r="S274" s="64"/>
      <c r="T274" s="64"/>
      <c r="U274" s="64"/>
      <c r="V274" s="64"/>
      <c r="W274" s="64"/>
      <c r="X274" s="64"/>
      <c r="Y274" s="137"/>
      <c r="Z274" s="137"/>
      <c r="AA274" s="137"/>
      <c r="AB274" s="137"/>
      <c r="AC274" s="137"/>
    </row>
    <row r="275" spans="2:29" ht="15.75" customHeight="1">
      <c r="B275" s="68"/>
      <c r="C275" s="68"/>
      <c r="D275" s="63"/>
      <c r="E275" s="63"/>
      <c r="F275" s="63"/>
      <c r="G275" s="63"/>
      <c r="H275" s="63"/>
      <c r="I275" s="63"/>
      <c r="J275" s="63"/>
      <c r="K275" s="63"/>
      <c r="L275" s="63"/>
      <c r="M275" s="168"/>
      <c r="N275" s="63"/>
      <c r="O275" s="64"/>
      <c r="P275" s="64"/>
      <c r="Q275" s="64"/>
      <c r="R275" s="64"/>
      <c r="S275" s="64"/>
      <c r="T275" s="64"/>
      <c r="U275" s="64"/>
      <c r="V275" s="64"/>
      <c r="W275" s="64"/>
      <c r="X275" s="64"/>
      <c r="Y275" s="137"/>
      <c r="Z275" s="137"/>
      <c r="AA275" s="137"/>
      <c r="AB275" s="137"/>
      <c r="AC275" s="137"/>
    </row>
    <row r="276" spans="2:29" ht="15.75" customHeight="1">
      <c r="B276" s="68"/>
      <c r="C276" s="68"/>
      <c r="D276" s="63"/>
      <c r="E276" s="63"/>
      <c r="F276" s="63"/>
      <c r="G276" s="63"/>
      <c r="H276" s="63"/>
      <c r="I276" s="63"/>
      <c r="J276" s="63"/>
      <c r="K276" s="63"/>
      <c r="L276" s="63"/>
      <c r="M276" s="168"/>
      <c r="N276" s="63"/>
      <c r="O276" s="64"/>
      <c r="P276" s="64"/>
      <c r="Q276" s="64"/>
      <c r="R276" s="64"/>
      <c r="S276" s="64"/>
      <c r="T276" s="64"/>
      <c r="U276" s="64"/>
      <c r="V276" s="64"/>
      <c r="W276" s="64"/>
      <c r="X276" s="64"/>
      <c r="Y276" s="137"/>
      <c r="Z276" s="137"/>
      <c r="AA276" s="137"/>
      <c r="AB276" s="137"/>
      <c r="AC276" s="137"/>
    </row>
    <row r="277" spans="2:29" ht="15.75" customHeight="1">
      <c r="B277" s="68"/>
      <c r="C277" s="68"/>
      <c r="D277" s="63"/>
      <c r="E277" s="63"/>
      <c r="F277" s="63"/>
      <c r="G277" s="63"/>
      <c r="H277" s="63"/>
      <c r="I277" s="63"/>
      <c r="J277" s="63"/>
      <c r="K277" s="63"/>
      <c r="L277" s="63"/>
      <c r="M277" s="168"/>
      <c r="N277" s="63"/>
      <c r="O277" s="64"/>
      <c r="P277" s="64"/>
      <c r="Q277" s="64"/>
      <c r="R277" s="64"/>
      <c r="S277" s="64"/>
      <c r="T277" s="64"/>
      <c r="U277" s="64"/>
      <c r="V277" s="64"/>
      <c r="W277" s="64"/>
      <c r="X277" s="64"/>
      <c r="Y277" s="137"/>
      <c r="Z277" s="137"/>
      <c r="AA277" s="137"/>
      <c r="AB277" s="137"/>
      <c r="AC277" s="137"/>
    </row>
    <row r="278" spans="2:29" ht="15.75" customHeight="1">
      <c r="B278" s="68"/>
      <c r="C278" s="68"/>
      <c r="D278" s="63"/>
      <c r="E278" s="63"/>
      <c r="F278" s="63"/>
      <c r="G278" s="63"/>
      <c r="H278" s="63"/>
      <c r="I278" s="63"/>
      <c r="J278" s="63"/>
      <c r="K278" s="63"/>
      <c r="L278" s="63"/>
      <c r="M278" s="168"/>
      <c r="N278" s="63"/>
      <c r="O278" s="64"/>
      <c r="P278" s="64"/>
      <c r="Q278" s="64"/>
      <c r="R278" s="64"/>
      <c r="S278" s="64"/>
      <c r="T278" s="64"/>
      <c r="U278" s="64"/>
      <c r="V278" s="64"/>
      <c r="W278" s="64"/>
      <c r="X278" s="64"/>
      <c r="Y278" s="137"/>
      <c r="Z278" s="137"/>
      <c r="AA278" s="137"/>
      <c r="AB278" s="137"/>
      <c r="AC278" s="137"/>
    </row>
    <row r="279" spans="2:29" ht="15.75" customHeight="1">
      <c r="B279" s="68"/>
      <c r="C279" s="68"/>
      <c r="D279" s="63"/>
      <c r="E279" s="63"/>
      <c r="F279" s="63"/>
      <c r="G279" s="63"/>
      <c r="H279" s="63"/>
      <c r="I279" s="63"/>
      <c r="J279" s="63"/>
      <c r="K279" s="63"/>
      <c r="L279" s="63"/>
      <c r="M279" s="168"/>
      <c r="N279" s="63"/>
      <c r="O279" s="64"/>
      <c r="P279" s="64"/>
      <c r="Q279" s="64"/>
      <c r="R279" s="64"/>
      <c r="S279" s="64"/>
      <c r="T279" s="64"/>
      <c r="U279" s="64"/>
      <c r="V279" s="64"/>
      <c r="W279" s="64"/>
      <c r="X279" s="64"/>
      <c r="Y279" s="137"/>
      <c r="Z279" s="137"/>
      <c r="AA279" s="137"/>
      <c r="AB279" s="137"/>
      <c r="AC279" s="137"/>
    </row>
    <row r="280" spans="2:29" ht="15.75" customHeight="1">
      <c r="B280" s="68"/>
      <c r="C280" s="68"/>
      <c r="D280" s="63"/>
      <c r="E280" s="63"/>
      <c r="F280" s="63"/>
      <c r="G280" s="63"/>
      <c r="H280" s="63"/>
      <c r="I280" s="63"/>
      <c r="J280" s="63"/>
      <c r="K280" s="63"/>
      <c r="L280" s="63"/>
      <c r="M280" s="168"/>
      <c r="N280" s="63"/>
      <c r="O280" s="64"/>
      <c r="P280" s="64"/>
      <c r="Q280" s="64"/>
      <c r="R280" s="64"/>
      <c r="S280" s="64"/>
      <c r="T280" s="64"/>
      <c r="U280" s="64"/>
      <c r="V280" s="64"/>
      <c r="W280" s="64"/>
      <c r="X280" s="64"/>
      <c r="Y280" s="137"/>
      <c r="Z280" s="137"/>
      <c r="AA280" s="137"/>
      <c r="AB280" s="137"/>
      <c r="AC280" s="137"/>
    </row>
    <row r="281" spans="2:29" ht="15.75" customHeight="1">
      <c r="B281" s="68"/>
      <c r="C281" s="68"/>
      <c r="D281" s="63"/>
      <c r="E281" s="63"/>
      <c r="F281" s="63"/>
      <c r="G281" s="63"/>
      <c r="H281" s="63"/>
      <c r="I281" s="63"/>
      <c r="J281" s="63"/>
      <c r="K281" s="63"/>
      <c r="L281" s="63"/>
      <c r="M281" s="168"/>
      <c r="N281" s="63"/>
      <c r="O281" s="64"/>
      <c r="P281" s="64"/>
      <c r="Q281" s="64"/>
      <c r="R281" s="64"/>
      <c r="S281" s="64"/>
      <c r="T281" s="64"/>
      <c r="U281" s="64"/>
      <c r="V281" s="64"/>
      <c r="W281" s="64"/>
      <c r="X281" s="64"/>
      <c r="Y281" s="137"/>
      <c r="Z281" s="137"/>
      <c r="AA281" s="137"/>
      <c r="AB281" s="137"/>
      <c r="AC281" s="137"/>
    </row>
    <row r="282" spans="2:29" ht="15.75" customHeight="1">
      <c r="B282" s="68"/>
      <c r="C282" s="68"/>
      <c r="D282" s="63"/>
      <c r="E282" s="63"/>
      <c r="F282" s="63"/>
      <c r="G282" s="63"/>
      <c r="H282" s="63"/>
      <c r="I282" s="63"/>
      <c r="J282" s="63"/>
      <c r="K282" s="63"/>
      <c r="L282" s="63"/>
      <c r="M282" s="168"/>
      <c r="N282" s="63"/>
      <c r="O282" s="64"/>
      <c r="P282" s="64"/>
      <c r="Q282" s="64"/>
      <c r="R282" s="64"/>
      <c r="S282" s="64"/>
      <c r="T282" s="64"/>
      <c r="U282" s="64"/>
      <c r="V282" s="64"/>
      <c r="W282" s="64"/>
      <c r="X282" s="64"/>
      <c r="Y282" s="137"/>
      <c r="Z282" s="137"/>
      <c r="AA282" s="137"/>
      <c r="AB282" s="137"/>
      <c r="AC282" s="137"/>
    </row>
    <row r="283" spans="2:29" ht="15.75" customHeight="1">
      <c r="B283" s="68"/>
      <c r="C283" s="68"/>
      <c r="D283" s="63"/>
      <c r="E283" s="63"/>
      <c r="F283" s="63"/>
      <c r="G283" s="63"/>
      <c r="H283" s="63"/>
      <c r="I283" s="63"/>
      <c r="J283" s="63"/>
      <c r="K283" s="63"/>
      <c r="L283" s="63"/>
      <c r="M283" s="168"/>
      <c r="N283" s="63"/>
      <c r="O283" s="64"/>
      <c r="P283" s="64"/>
      <c r="Q283" s="64"/>
      <c r="R283" s="64"/>
      <c r="S283" s="64"/>
      <c r="T283" s="64"/>
      <c r="U283" s="64"/>
      <c r="V283" s="64"/>
      <c r="W283" s="64"/>
      <c r="X283" s="64"/>
      <c r="Y283" s="137"/>
      <c r="Z283" s="137"/>
      <c r="AA283" s="137"/>
      <c r="AB283" s="137"/>
      <c r="AC283" s="137"/>
    </row>
    <row r="284" spans="2:29" ht="15.75" customHeight="1">
      <c r="B284" s="68"/>
      <c r="C284" s="68"/>
      <c r="D284" s="63"/>
      <c r="E284" s="63"/>
      <c r="F284" s="63"/>
      <c r="G284" s="63"/>
      <c r="H284" s="63"/>
      <c r="I284" s="63"/>
      <c r="J284" s="63"/>
      <c r="K284" s="63"/>
      <c r="L284" s="63"/>
      <c r="M284" s="168"/>
      <c r="N284" s="63"/>
      <c r="O284" s="64"/>
      <c r="P284" s="64"/>
      <c r="Q284" s="64"/>
      <c r="R284" s="64"/>
      <c r="S284" s="64"/>
      <c r="T284" s="64"/>
      <c r="U284" s="64"/>
      <c r="V284" s="64"/>
      <c r="W284" s="64"/>
      <c r="X284" s="64"/>
      <c r="Y284" s="137"/>
      <c r="Z284" s="137"/>
      <c r="AA284" s="137"/>
      <c r="AB284" s="137"/>
      <c r="AC284" s="137"/>
    </row>
    <row r="285" spans="2:29" ht="15.75" customHeight="1">
      <c r="B285" s="68"/>
      <c r="C285" s="68"/>
      <c r="D285" s="63"/>
      <c r="E285" s="63"/>
      <c r="F285" s="63"/>
      <c r="G285" s="63"/>
      <c r="H285" s="63"/>
      <c r="I285" s="63"/>
      <c r="J285" s="63"/>
      <c r="K285" s="63"/>
      <c r="L285" s="63"/>
      <c r="M285" s="168"/>
      <c r="N285" s="63"/>
      <c r="O285" s="64"/>
      <c r="P285" s="64"/>
      <c r="Q285" s="64"/>
      <c r="R285" s="64"/>
      <c r="S285" s="64"/>
      <c r="T285" s="64"/>
      <c r="U285" s="64"/>
      <c r="V285" s="64"/>
      <c r="W285" s="64"/>
      <c r="X285" s="64"/>
      <c r="Y285" s="137"/>
      <c r="Z285" s="137"/>
      <c r="AA285" s="137"/>
      <c r="AB285" s="137"/>
      <c r="AC285" s="137"/>
    </row>
    <row r="286" spans="2:29" ht="15.75" customHeight="1">
      <c r="B286" s="68"/>
      <c r="C286" s="68"/>
      <c r="D286" s="63"/>
      <c r="E286" s="63"/>
      <c r="F286" s="63"/>
      <c r="G286" s="63"/>
      <c r="H286" s="63"/>
      <c r="I286" s="63"/>
      <c r="J286" s="63"/>
      <c r="K286" s="63"/>
      <c r="L286" s="63"/>
      <c r="M286" s="168"/>
      <c r="N286" s="63"/>
      <c r="O286" s="64"/>
      <c r="P286" s="64"/>
      <c r="Q286" s="64"/>
      <c r="R286" s="64"/>
      <c r="S286" s="64"/>
      <c r="T286" s="64"/>
      <c r="U286" s="64"/>
      <c r="V286" s="64"/>
      <c r="W286" s="64"/>
      <c r="X286" s="64"/>
      <c r="Y286" s="137"/>
      <c r="Z286" s="137"/>
      <c r="AA286" s="137"/>
      <c r="AB286" s="137"/>
      <c r="AC286" s="137"/>
    </row>
    <row r="287" spans="2:29" ht="15.75" customHeight="1">
      <c r="B287" s="68"/>
      <c r="C287" s="68"/>
      <c r="D287" s="63"/>
      <c r="E287" s="63"/>
      <c r="F287" s="63"/>
      <c r="G287" s="63"/>
      <c r="H287" s="63"/>
      <c r="I287" s="63"/>
      <c r="J287" s="63"/>
      <c r="K287" s="63"/>
      <c r="L287" s="63"/>
      <c r="M287" s="168"/>
      <c r="N287" s="63"/>
      <c r="O287" s="64"/>
      <c r="P287" s="64"/>
      <c r="Q287" s="64"/>
      <c r="R287" s="64"/>
      <c r="S287" s="64"/>
      <c r="T287" s="64"/>
      <c r="U287" s="64"/>
      <c r="V287" s="64"/>
      <c r="W287" s="64"/>
      <c r="X287" s="64"/>
      <c r="Y287" s="137"/>
      <c r="Z287" s="137"/>
      <c r="AA287" s="137"/>
      <c r="AB287" s="137"/>
      <c r="AC287" s="137"/>
    </row>
    <row r="288" spans="2:29" ht="15.75" customHeight="1">
      <c r="B288" s="68"/>
      <c r="C288" s="68"/>
      <c r="D288" s="63"/>
      <c r="E288" s="63"/>
      <c r="F288" s="63"/>
      <c r="G288" s="63"/>
      <c r="H288" s="63"/>
      <c r="I288" s="63"/>
      <c r="J288" s="63"/>
      <c r="K288" s="63"/>
      <c r="L288" s="63"/>
      <c r="M288" s="168"/>
      <c r="N288" s="63"/>
      <c r="O288" s="64"/>
      <c r="P288" s="64"/>
      <c r="Q288" s="64"/>
      <c r="R288" s="64"/>
      <c r="S288" s="64"/>
      <c r="T288" s="64"/>
      <c r="U288" s="64"/>
      <c r="V288" s="64"/>
      <c r="W288" s="64"/>
      <c r="X288" s="64"/>
      <c r="Y288" s="137"/>
      <c r="Z288" s="137"/>
      <c r="AA288" s="137"/>
      <c r="AB288" s="137"/>
      <c r="AC288" s="137"/>
    </row>
    <row r="289" spans="2:29" ht="15.75" customHeight="1">
      <c r="B289" s="68"/>
      <c r="C289" s="68"/>
      <c r="D289" s="63"/>
      <c r="E289" s="63"/>
      <c r="F289" s="63"/>
      <c r="G289" s="63"/>
      <c r="H289" s="63"/>
      <c r="I289" s="63"/>
      <c r="J289" s="63"/>
      <c r="K289" s="63"/>
      <c r="L289" s="63"/>
      <c r="M289" s="168"/>
      <c r="N289" s="63"/>
      <c r="O289" s="64"/>
      <c r="P289" s="64"/>
      <c r="Q289" s="64"/>
      <c r="R289" s="64"/>
      <c r="S289" s="64"/>
      <c r="T289" s="64"/>
      <c r="U289" s="64"/>
      <c r="V289" s="64"/>
      <c r="W289" s="64"/>
      <c r="X289" s="64"/>
      <c r="Y289" s="137"/>
      <c r="Z289" s="137"/>
      <c r="AA289" s="137"/>
      <c r="AB289" s="137"/>
      <c r="AC289" s="137"/>
    </row>
    <row r="290" spans="2:29" ht="15.75" customHeight="1">
      <c r="B290" s="68"/>
      <c r="C290" s="68"/>
      <c r="D290" s="63"/>
      <c r="E290" s="63"/>
      <c r="F290" s="63"/>
      <c r="G290" s="63"/>
      <c r="H290" s="63"/>
      <c r="I290" s="63"/>
      <c r="J290" s="63"/>
      <c r="K290" s="63"/>
      <c r="L290" s="63"/>
      <c r="M290" s="168"/>
      <c r="N290" s="63"/>
      <c r="O290" s="64"/>
      <c r="P290" s="64"/>
      <c r="Q290" s="64"/>
      <c r="R290" s="64"/>
      <c r="S290" s="64"/>
      <c r="T290" s="64"/>
      <c r="U290" s="64"/>
      <c r="V290" s="64"/>
      <c r="W290" s="64"/>
      <c r="X290" s="64"/>
      <c r="Y290" s="137"/>
      <c r="Z290" s="137"/>
      <c r="AA290" s="137"/>
      <c r="AB290" s="137"/>
      <c r="AC290" s="137"/>
    </row>
    <row r="291" spans="2:29" ht="15.75" customHeight="1">
      <c r="B291" s="68"/>
      <c r="C291" s="68"/>
      <c r="D291" s="63"/>
      <c r="E291" s="63"/>
      <c r="F291" s="63"/>
      <c r="G291" s="63"/>
      <c r="H291" s="63"/>
      <c r="I291" s="63"/>
      <c r="J291" s="63"/>
      <c r="K291" s="63"/>
      <c r="L291" s="63"/>
      <c r="M291" s="168"/>
      <c r="N291" s="63"/>
      <c r="O291" s="64"/>
      <c r="P291" s="64"/>
      <c r="Q291" s="64"/>
      <c r="R291" s="64"/>
      <c r="S291" s="64"/>
      <c r="T291" s="64"/>
      <c r="U291" s="64"/>
      <c r="V291" s="64"/>
      <c r="W291" s="64"/>
      <c r="X291" s="64"/>
      <c r="Y291" s="137"/>
      <c r="Z291" s="137"/>
      <c r="AA291" s="137"/>
      <c r="AB291" s="137"/>
      <c r="AC291" s="137"/>
    </row>
    <row r="292" spans="2:29" ht="15.75" customHeight="1">
      <c r="B292" s="68"/>
      <c r="C292" s="68"/>
      <c r="D292" s="63"/>
      <c r="E292" s="63"/>
      <c r="F292" s="63"/>
      <c r="G292" s="63"/>
      <c r="H292" s="63"/>
      <c r="I292" s="63"/>
      <c r="J292" s="63"/>
      <c r="K292" s="63"/>
      <c r="L292" s="63"/>
      <c r="M292" s="168"/>
      <c r="N292" s="63"/>
      <c r="O292" s="64"/>
      <c r="P292" s="64"/>
      <c r="Q292" s="64"/>
      <c r="R292" s="64"/>
      <c r="S292" s="64"/>
      <c r="T292" s="64"/>
      <c r="U292" s="64"/>
      <c r="V292" s="64"/>
      <c r="W292" s="64"/>
      <c r="X292" s="64"/>
      <c r="Y292" s="137"/>
      <c r="Z292" s="137"/>
      <c r="AA292" s="137"/>
      <c r="AB292" s="137"/>
      <c r="AC292" s="137"/>
    </row>
    <row r="293" spans="2:29" ht="15.75" customHeight="1">
      <c r="B293" s="68"/>
      <c r="C293" s="68"/>
      <c r="D293" s="63"/>
      <c r="E293" s="63"/>
      <c r="F293" s="63"/>
      <c r="G293" s="63"/>
      <c r="H293" s="63"/>
      <c r="I293" s="63"/>
      <c r="J293" s="63"/>
      <c r="K293" s="63"/>
      <c r="L293" s="63"/>
      <c r="M293" s="168"/>
      <c r="N293" s="63"/>
      <c r="O293" s="64"/>
      <c r="P293" s="64"/>
      <c r="Q293" s="64"/>
      <c r="R293" s="64"/>
      <c r="S293" s="64"/>
      <c r="T293" s="64"/>
      <c r="U293" s="64"/>
      <c r="V293" s="64"/>
      <c r="W293" s="64"/>
      <c r="X293" s="64"/>
      <c r="Y293" s="137"/>
      <c r="Z293" s="137"/>
      <c r="AA293" s="137"/>
      <c r="AB293" s="137"/>
      <c r="AC293" s="137"/>
    </row>
    <row r="294" spans="2:29" ht="15.75" customHeight="1">
      <c r="B294" s="68"/>
      <c r="C294" s="68"/>
      <c r="D294" s="63"/>
      <c r="E294" s="63"/>
      <c r="F294" s="63"/>
      <c r="G294" s="63"/>
      <c r="H294" s="63"/>
      <c r="I294" s="63"/>
      <c r="J294" s="63"/>
      <c r="K294" s="63"/>
      <c r="L294" s="63"/>
      <c r="M294" s="168"/>
      <c r="N294" s="63"/>
      <c r="O294" s="64"/>
      <c r="P294" s="64"/>
      <c r="Q294" s="64"/>
      <c r="R294" s="64"/>
      <c r="S294" s="64"/>
      <c r="T294" s="64"/>
      <c r="U294" s="64"/>
      <c r="V294" s="64"/>
      <c r="W294" s="64"/>
      <c r="X294" s="64"/>
      <c r="Y294" s="137"/>
      <c r="Z294" s="137"/>
      <c r="AA294" s="137"/>
      <c r="AB294" s="137"/>
      <c r="AC294" s="137"/>
    </row>
    <row r="295" spans="2:29" ht="15.75" customHeight="1">
      <c r="B295" s="68"/>
      <c r="C295" s="68"/>
      <c r="D295" s="63"/>
      <c r="E295" s="63"/>
      <c r="F295" s="63"/>
      <c r="G295" s="63"/>
      <c r="H295" s="63"/>
      <c r="I295" s="63"/>
      <c r="J295" s="63"/>
      <c r="K295" s="63"/>
      <c r="L295" s="63"/>
      <c r="M295" s="168"/>
      <c r="N295" s="63"/>
      <c r="O295" s="64"/>
      <c r="P295" s="64"/>
      <c r="Q295" s="64"/>
      <c r="R295" s="64"/>
      <c r="S295" s="64"/>
      <c r="T295" s="64"/>
      <c r="U295" s="64"/>
      <c r="V295" s="64"/>
      <c r="W295" s="64"/>
      <c r="X295" s="64"/>
      <c r="Y295" s="137"/>
      <c r="Z295" s="137"/>
      <c r="AA295" s="137"/>
      <c r="AB295" s="137"/>
      <c r="AC295" s="137"/>
    </row>
    <row r="296" spans="2:29" ht="15.75" customHeight="1">
      <c r="B296" s="68"/>
      <c r="C296" s="68"/>
      <c r="D296" s="63"/>
      <c r="E296" s="63"/>
      <c r="F296" s="63"/>
      <c r="G296" s="63"/>
      <c r="H296" s="63"/>
      <c r="I296" s="63"/>
      <c r="J296" s="63"/>
      <c r="K296" s="63"/>
      <c r="L296" s="63"/>
      <c r="M296" s="168"/>
      <c r="N296" s="63"/>
      <c r="O296" s="64"/>
      <c r="P296" s="64"/>
      <c r="Q296" s="64"/>
      <c r="R296" s="64"/>
      <c r="S296" s="64"/>
      <c r="T296" s="64"/>
      <c r="U296" s="64"/>
      <c r="V296" s="64"/>
      <c r="W296" s="64"/>
      <c r="X296" s="64"/>
      <c r="Y296" s="137"/>
      <c r="Z296" s="137"/>
      <c r="AA296" s="137"/>
      <c r="AB296" s="137"/>
      <c r="AC296" s="137"/>
    </row>
    <row r="297" spans="2:29" ht="15.75" customHeight="1">
      <c r="B297" s="68"/>
      <c r="C297" s="68"/>
      <c r="D297" s="63"/>
      <c r="E297" s="63"/>
      <c r="F297" s="63"/>
      <c r="G297" s="63"/>
      <c r="H297" s="63"/>
      <c r="I297" s="63"/>
      <c r="J297" s="63"/>
      <c r="K297" s="63"/>
      <c r="L297" s="63"/>
      <c r="M297" s="168"/>
      <c r="N297" s="63"/>
      <c r="O297" s="64"/>
      <c r="P297" s="64"/>
      <c r="Q297" s="64"/>
      <c r="R297" s="64"/>
      <c r="S297" s="64"/>
      <c r="T297" s="64"/>
      <c r="U297" s="64"/>
      <c r="V297" s="64"/>
      <c r="W297" s="64"/>
      <c r="X297" s="64"/>
      <c r="Y297" s="137"/>
      <c r="Z297" s="137"/>
      <c r="AA297" s="137"/>
      <c r="AB297" s="137"/>
      <c r="AC297" s="137"/>
    </row>
    <row r="298" spans="2:29" ht="15.75" customHeight="1">
      <c r="B298" s="68"/>
      <c r="C298" s="68"/>
      <c r="D298" s="63"/>
      <c r="E298" s="63"/>
      <c r="F298" s="63"/>
      <c r="G298" s="63"/>
      <c r="H298" s="63"/>
      <c r="I298" s="63"/>
      <c r="J298" s="63"/>
      <c r="K298" s="63"/>
      <c r="L298" s="63"/>
      <c r="M298" s="168"/>
      <c r="N298" s="63"/>
      <c r="O298" s="64"/>
      <c r="P298" s="64"/>
      <c r="Q298" s="64"/>
      <c r="R298" s="64"/>
      <c r="S298" s="64"/>
      <c r="T298" s="64"/>
      <c r="U298" s="64"/>
      <c r="V298" s="64"/>
      <c r="W298" s="64"/>
      <c r="X298" s="64"/>
      <c r="Y298" s="137"/>
      <c r="Z298" s="137"/>
      <c r="AA298" s="137"/>
      <c r="AB298" s="137"/>
      <c r="AC298" s="137"/>
    </row>
    <row r="299" spans="2:29" ht="15.75" customHeight="1">
      <c r="B299" s="68"/>
      <c r="C299" s="68"/>
      <c r="D299" s="63"/>
      <c r="E299" s="63"/>
      <c r="F299" s="63"/>
      <c r="G299" s="63"/>
      <c r="H299" s="63"/>
      <c r="I299" s="63"/>
      <c r="J299" s="63"/>
      <c r="K299" s="63"/>
      <c r="L299" s="63"/>
      <c r="M299" s="168"/>
      <c r="N299" s="63"/>
      <c r="O299" s="64"/>
      <c r="P299" s="64"/>
      <c r="Q299" s="64"/>
      <c r="R299" s="64"/>
      <c r="S299" s="64"/>
      <c r="T299" s="64"/>
      <c r="U299" s="64"/>
      <c r="V299" s="64"/>
      <c r="W299" s="64"/>
      <c r="X299" s="64"/>
      <c r="Y299" s="137"/>
      <c r="Z299" s="137"/>
      <c r="AA299" s="137"/>
      <c r="AB299" s="137"/>
      <c r="AC299" s="137"/>
    </row>
    <row r="300" spans="2:29" ht="15.75" customHeight="1">
      <c r="B300" s="68"/>
      <c r="C300" s="68"/>
      <c r="D300" s="63"/>
      <c r="E300" s="63"/>
      <c r="F300" s="63"/>
      <c r="G300" s="63"/>
      <c r="H300" s="63"/>
      <c r="I300" s="63"/>
      <c r="J300" s="63"/>
      <c r="K300" s="63"/>
      <c r="L300" s="63"/>
      <c r="M300" s="168"/>
      <c r="N300" s="63"/>
      <c r="O300" s="64"/>
      <c r="P300" s="64"/>
      <c r="Q300" s="64"/>
      <c r="R300" s="64"/>
      <c r="S300" s="64"/>
      <c r="T300" s="64"/>
      <c r="U300" s="64"/>
      <c r="V300" s="64"/>
      <c r="W300" s="64"/>
      <c r="X300" s="64"/>
      <c r="Y300" s="137"/>
      <c r="Z300" s="137"/>
      <c r="AA300" s="137"/>
      <c r="AB300" s="137"/>
      <c r="AC300" s="137"/>
    </row>
    <row r="301" spans="2:29" ht="15.75" customHeight="1">
      <c r="B301" s="68"/>
      <c r="C301" s="68"/>
      <c r="D301" s="63"/>
      <c r="E301" s="63"/>
      <c r="F301" s="63"/>
      <c r="G301" s="63"/>
      <c r="H301" s="63"/>
      <c r="I301" s="63"/>
      <c r="J301" s="63"/>
      <c r="K301" s="63"/>
      <c r="L301" s="63"/>
      <c r="M301" s="168"/>
      <c r="N301" s="63"/>
      <c r="O301" s="64"/>
      <c r="P301" s="64"/>
      <c r="Q301" s="64"/>
      <c r="R301" s="64"/>
      <c r="S301" s="64"/>
      <c r="T301" s="64"/>
      <c r="U301" s="64"/>
      <c r="V301" s="64"/>
      <c r="W301" s="64"/>
      <c r="X301" s="64"/>
      <c r="Y301" s="137"/>
      <c r="Z301" s="137"/>
      <c r="AA301" s="137"/>
      <c r="AB301" s="137"/>
      <c r="AC301" s="137"/>
    </row>
    <row r="302" spans="2:29" ht="15.75" customHeight="1">
      <c r="B302" s="68"/>
      <c r="C302" s="68"/>
      <c r="D302" s="63"/>
      <c r="E302" s="63"/>
      <c r="F302" s="63"/>
      <c r="G302" s="63"/>
      <c r="H302" s="63"/>
      <c r="I302" s="63"/>
      <c r="J302" s="63"/>
      <c r="K302" s="63"/>
      <c r="L302" s="63"/>
      <c r="M302" s="168"/>
      <c r="N302" s="63"/>
      <c r="O302" s="64"/>
      <c r="P302" s="64"/>
      <c r="Q302" s="64"/>
      <c r="R302" s="64"/>
      <c r="S302" s="64"/>
      <c r="T302" s="64"/>
      <c r="U302" s="64"/>
      <c r="V302" s="64"/>
      <c r="W302" s="64"/>
      <c r="X302" s="64"/>
      <c r="Y302" s="137"/>
      <c r="Z302" s="137"/>
      <c r="AA302" s="137"/>
      <c r="AB302" s="137"/>
      <c r="AC302" s="137"/>
    </row>
    <row r="303" spans="2:29" ht="15.75" customHeight="1">
      <c r="B303" s="68"/>
      <c r="C303" s="68"/>
      <c r="D303" s="63"/>
      <c r="E303" s="63"/>
      <c r="F303" s="63"/>
      <c r="G303" s="63"/>
      <c r="H303" s="63"/>
      <c r="I303" s="63"/>
      <c r="J303" s="63"/>
      <c r="K303" s="63"/>
      <c r="L303" s="63"/>
      <c r="M303" s="168"/>
      <c r="N303" s="63"/>
      <c r="O303" s="64"/>
      <c r="P303" s="64"/>
      <c r="Q303" s="64"/>
      <c r="R303" s="64"/>
      <c r="S303" s="64"/>
      <c r="T303" s="64"/>
      <c r="U303" s="64"/>
      <c r="V303" s="64"/>
      <c r="W303" s="64"/>
      <c r="X303" s="64"/>
      <c r="Y303" s="137"/>
      <c r="Z303" s="137"/>
      <c r="AA303" s="137"/>
      <c r="AB303" s="137"/>
      <c r="AC303" s="137"/>
    </row>
    <row r="304" spans="2:29" ht="15.75" customHeight="1">
      <c r="B304" s="68"/>
      <c r="C304" s="68"/>
      <c r="D304" s="63"/>
      <c r="E304" s="63"/>
      <c r="F304" s="63"/>
      <c r="G304" s="63"/>
      <c r="H304" s="63"/>
      <c r="I304" s="63"/>
      <c r="J304" s="63"/>
      <c r="K304" s="63"/>
      <c r="L304" s="63"/>
      <c r="M304" s="168"/>
      <c r="N304" s="63"/>
      <c r="O304" s="64"/>
      <c r="P304" s="64"/>
      <c r="Q304" s="64"/>
      <c r="R304" s="64"/>
      <c r="S304" s="64"/>
      <c r="T304" s="64"/>
      <c r="U304" s="64"/>
      <c r="V304" s="64"/>
      <c r="W304" s="64"/>
      <c r="X304" s="64"/>
      <c r="Y304" s="137"/>
      <c r="Z304" s="137"/>
      <c r="AA304" s="137"/>
      <c r="AB304" s="137"/>
      <c r="AC304" s="137"/>
    </row>
    <row r="305" spans="2:29" ht="15.75" customHeight="1">
      <c r="B305" s="68"/>
      <c r="C305" s="68"/>
      <c r="D305" s="63"/>
      <c r="E305" s="63"/>
      <c r="F305" s="63"/>
      <c r="G305" s="63"/>
      <c r="H305" s="63"/>
      <c r="I305" s="63"/>
      <c r="J305" s="63"/>
      <c r="K305" s="63"/>
      <c r="L305" s="63"/>
      <c r="M305" s="168"/>
      <c r="N305" s="63"/>
      <c r="O305" s="64"/>
      <c r="P305" s="64"/>
      <c r="Q305" s="64"/>
      <c r="R305" s="64"/>
      <c r="S305" s="64"/>
      <c r="T305" s="64"/>
      <c r="U305" s="64"/>
      <c r="V305" s="64"/>
      <c r="W305" s="64"/>
      <c r="X305" s="64"/>
      <c r="Y305" s="137"/>
      <c r="Z305" s="137"/>
      <c r="AA305" s="137"/>
      <c r="AB305" s="137"/>
      <c r="AC305" s="137"/>
    </row>
    <row r="306" spans="2:29" ht="15.75" customHeight="1">
      <c r="B306" s="68"/>
      <c r="C306" s="68"/>
      <c r="D306" s="63"/>
      <c r="E306" s="63"/>
      <c r="F306" s="63"/>
      <c r="G306" s="63"/>
      <c r="H306" s="63"/>
      <c r="I306" s="63"/>
      <c r="J306" s="63"/>
      <c r="K306" s="63"/>
      <c r="L306" s="63"/>
      <c r="M306" s="168"/>
      <c r="N306" s="63"/>
      <c r="O306" s="64"/>
      <c r="P306" s="64"/>
      <c r="Q306" s="64"/>
      <c r="R306" s="64"/>
      <c r="S306" s="64"/>
      <c r="T306" s="64"/>
      <c r="U306" s="64"/>
      <c r="V306" s="64"/>
      <c r="W306" s="64"/>
      <c r="X306" s="64"/>
      <c r="Y306" s="137"/>
      <c r="Z306" s="137"/>
      <c r="AA306" s="137"/>
      <c r="AB306" s="137"/>
      <c r="AC306" s="137"/>
    </row>
    <row r="307" spans="2:29" ht="15.75" customHeight="1">
      <c r="B307" s="68"/>
      <c r="C307" s="68"/>
      <c r="D307" s="63"/>
      <c r="E307" s="63"/>
      <c r="F307" s="63"/>
      <c r="G307" s="63"/>
      <c r="H307" s="63"/>
      <c r="I307" s="63"/>
      <c r="J307" s="63"/>
      <c r="K307" s="63"/>
      <c r="L307" s="63"/>
      <c r="M307" s="168"/>
      <c r="N307" s="63"/>
      <c r="O307" s="64"/>
      <c r="P307" s="64"/>
      <c r="Q307" s="64"/>
      <c r="R307" s="64"/>
      <c r="S307" s="64"/>
      <c r="T307" s="64"/>
      <c r="U307" s="64"/>
      <c r="V307" s="64"/>
      <c r="W307" s="64"/>
      <c r="X307" s="64"/>
      <c r="Y307" s="137"/>
      <c r="Z307" s="137"/>
      <c r="AA307" s="137"/>
      <c r="AB307" s="137"/>
      <c r="AC307" s="137"/>
    </row>
    <row r="308" spans="2:29" ht="15.75" customHeight="1">
      <c r="B308" s="68"/>
      <c r="C308" s="68"/>
      <c r="D308" s="63"/>
      <c r="E308" s="63"/>
      <c r="F308" s="63"/>
      <c r="G308" s="63"/>
      <c r="H308" s="63"/>
      <c r="I308" s="63"/>
      <c r="J308" s="63"/>
      <c r="K308" s="63"/>
      <c r="L308" s="63"/>
      <c r="M308" s="168"/>
      <c r="N308" s="63"/>
      <c r="O308" s="64"/>
      <c r="P308" s="64"/>
      <c r="Q308" s="64"/>
      <c r="R308" s="64"/>
      <c r="S308" s="64"/>
      <c r="T308" s="64"/>
      <c r="U308" s="64"/>
      <c r="V308" s="64"/>
      <c r="W308" s="64"/>
      <c r="X308" s="64"/>
      <c r="Y308" s="137"/>
      <c r="Z308" s="137"/>
      <c r="AA308" s="137"/>
      <c r="AB308" s="137"/>
      <c r="AC308" s="137"/>
    </row>
    <row r="309" spans="2:29" ht="15.75" customHeight="1">
      <c r="B309" s="68"/>
      <c r="C309" s="68"/>
      <c r="D309" s="63"/>
      <c r="E309" s="63"/>
      <c r="F309" s="63"/>
      <c r="G309" s="63"/>
      <c r="H309" s="63"/>
      <c r="I309" s="63"/>
      <c r="J309" s="63"/>
      <c r="K309" s="63"/>
      <c r="L309" s="63"/>
      <c r="M309" s="168"/>
      <c r="N309" s="63"/>
      <c r="O309" s="64"/>
      <c r="P309" s="64"/>
      <c r="Q309" s="64"/>
      <c r="R309" s="64"/>
      <c r="S309" s="64"/>
      <c r="T309" s="64"/>
      <c r="U309" s="64"/>
      <c r="V309" s="64"/>
      <c r="W309" s="64"/>
      <c r="X309" s="64"/>
      <c r="Y309" s="137"/>
      <c r="Z309" s="137"/>
      <c r="AA309" s="137"/>
      <c r="AB309" s="137"/>
      <c r="AC309" s="137"/>
    </row>
    <row r="310" spans="2:29" ht="15.75" customHeight="1">
      <c r="B310" s="68"/>
      <c r="C310" s="68"/>
      <c r="D310" s="63"/>
      <c r="E310" s="63"/>
      <c r="F310" s="63"/>
      <c r="G310" s="63"/>
      <c r="H310" s="63"/>
      <c r="I310" s="63"/>
      <c r="J310" s="63"/>
      <c r="K310" s="63"/>
      <c r="L310" s="63"/>
      <c r="M310" s="168"/>
      <c r="N310" s="63"/>
      <c r="O310" s="64"/>
      <c r="P310" s="64"/>
      <c r="Q310" s="64"/>
      <c r="R310" s="64"/>
      <c r="S310" s="64"/>
      <c r="T310" s="64"/>
      <c r="U310" s="64"/>
      <c r="V310" s="64"/>
      <c r="W310" s="64"/>
      <c r="X310" s="64"/>
      <c r="Y310" s="137"/>
      <c r="Z310" s="137"/>
      <c r="AA310" s="137"/>
      <c r="AB310" s="137"/>
      <c r="AC310" s="137"/>
    </row>
    <row r="311" spans="2:29" ht="15.75" customHeight="1">
      <c r="B311" s="68"/>
      <c r="C311" s="68"/>
      <c r="D311" s="63"/>
      <c r="E311" s="63"/>
      <c r="F311" s="63"/>
      <c r="G311" s="63"/>
      <c r="H311" s="63"/>
      <c r="I311" s="63"/>
      <c r="J311" s="63"/>
      <c r="K311" s="63"/>
      <c r="L311" s="63"/>
      <c r="M311" s="168"/>
      <c r="N311" s="63"/>
      <c r="O311" s="64"/>
      <c r="P311" s="64"/>
      <c r="Q311" s="64"/>
      <c r="R311" s="64"/>
      <c r="S311" s="64"/>
      <c r="T311" s="64"/>
      <c r="U311" s="64"/>
      <c r="V311" s="64"/>
      <c r="W311" s="64"/>
      <c r="X311" s="64"/>
      <c r="Y311" s="137"/>
      <c r="Z311" s="137"/>
      <c r="AA311" s="137"/>
      <c r="AB311" s="137"/>
      <c r="AC311" s="137"/>
    </row>
    <row r="312" spans="2:29" ht="15.75" customHeight="1">
      <c r="B312" s="68"/>
      <c r="C312" s="68"/>
      <c r="D312" s="63"/>
      <c r="E312" s="63"/>
      <c r="F312" s="63"/>
      <c r="G312" s="63"/>
      <c r="H312" s="63"/>
      <c r="I312" s="63"/>
      <c r="J312" s="63"/>
      <c r="K312" s="63"/>
      <c r="L312" s="63"/>
      <c r="M312" s="168"/>
      <c r="N312" s="63"/>
      <c r="O312" s="64"/>
      <c r="P312" s="64"/>
      <c r="Q312" s="64"/>
      <c r="R312" s="64"/>
      <c r="S312" s="64"/>
      <c r="T312" s="64"/>
      <c r="U312" s="64"/>
      <c r="V312" s="64"/>
      <c r="W312" s="64"/>
      <c r="X312" s="64"/>
      <c r="Y312" s="137"/>
      <c r="Z312" s="137"/>
      <c r="AA312" s="137"/>
      <c r="AB312" s="137"/>
      <c r="AC312" s="137"/>
    </row>
    <row r="313" spans="2:29" ht="15.75" customHeight="1">
      <c r="B313" s="68"/>
      <c r="C313" s="68"/>
      <c r="D313" s="63"/>
      <c r="E313" s="63"/>
      <c r="F313" s="63"/>
      <c r="G313" s="63"/>
      <c r="H313" s="63"/>
      <c r="I313" s="63"/>
      <c r="J313" s="63"/>
      <c r="K313" s="63"/>
      <c r="L313" s="63"/>
      <c r="M313" s="168"/>
      <c r="N313" s="63"/>
      <c r="O313" s="64"/>
      <c r="P313" s="64"/>
      <c r="Q313" s="64"/>
      <c r="R313" s="64"/>
      <c r="S313" s="64"/>
      <c r="T313" s="64"/>
      <c r="U313" s="64"/>
      <c r="V313" s="64"/>
      <c r="W313" s="64"/>
      <c r="X313" s="64"/>
      <c r="Y313" s="137"/>
      <c r="Z313" s="137"/>
      <c r="AA313" s="137"/>
      <c r="AB313" s="137"/>
      <c r="AC313" s="137"/>
    </row>
    <row r="314" spans="2:29" ht="15.75" customHeight="1">
      <c r="B314" s="68"/>
      <c r="C314" s="68"/>
      <c r="D314" s="63"/>
      <c r="E314" s="63"/>
      <c r="F314" s="63"/>
      <c r="G314" s="63"/>
      <c r="H314" s="63"/>
      <c r="I314" s="63"/>
      <c r="J314" s="63"/>
      <c r="K314" s="63"/>
      <c r="L314" s="63"/>
      <c r="M314" s="168"/>
      <c r="N314" s="63"/>
      <c r="O314" s="64"/>
      <c r="P314" s="64"/>
      <c r="Q314" s="64"/>
      <c r="R314" s="64"/>
      <c r="S314" s="64"/>
      <c r="T314" s="64"/>
      <c r="U314" s="64"/>
      <c r="V314" s="64"/>
      <c r="W314" s="64"/>
      <c r="X314" s="64"/>
      <c r="Y314" s="137"/>
      <c r="Z314" s="137"/>
      <c r="AA314" s="137"/>
      <c r="AB314" s="137"/>
      <c r="AC314" s="137"/>
    </row>
    <row r="315" spans="2:29" ht="15.75" customHeight="1">
      <c r="B315" s="68"/>
      <c r="C315" s="68"/>
      <c r="D315" s="63"/>
      <c r="E315" s="63"/>
      <c r="F315" s="63"/>
      <c r="G315" s="63"/>
      <c r="H315" s="63"/>
      <c r="I315" s="63"/>
      <c r="J315" s="63"/>
      <c r="K315" s="63"/>
      <c r="L315" s="63"/>
      <c r="M315" s="168"/>
      <c r="N315" s="63"/>
      <c r="O315" s="64"/>
      <c r="P315" s="64"/>
      <c r="Q315" s="64"/>
      <c r="R315" s="64"/>
      <c r="S315" s="64"/>
      <c r="T315" s="64"/>
      <c r="U315" s="64"/>
      <c r="V315" s="64"/>
      <c r="W315" s="64"/>
      <c r="X315" s="64"/>
      <c r="Y315" s="137"/>
      <c r="Z315" s="137"/>
      <c r="AA315" s="137"/>
      <c r="AB315" s="137"/>
      <c r="AC315" s="137"/>
    </row>
    <row r="316" spans="2:29" ht="15.75" customHeight="1">
      <c r="B316" s="68"/>
      <c r="C316" s="68"/>
      <c r="D316" s="63"/>
      <c r="E316" s="63"/>
      <c r="F316" s="63"/>
      <c r="G316" s="63"/>
      <c r="H316" s="63"/>
      <c r="I316" s="63"/>
      <c r="J316" s="63"/>
      <c r="K316" s="63"/>
      <c r="L316" s="63"/>
      <c r="M316" s="168"/>
      <c r="N316" s="63"/>
      <c r="O316" s="64"/>
      <c r="P316" s="64"/>
      <c r="Q316" s="64"/>
      <c r="R316" s="64"/>
      <c r="S316" s="64"/>
      <c r="T316" s="64"/>
      <c r="U316" s="64"/>
      <c r="V316" s="64"/>
      <c r="W316" s="64"/>
      <c r="X316" s="64"/>
      <c r="Y316" s="137"/>
      <c r="Z316" s="137"/>
      <c r="AA316" s="137"/>
      <c r="AB316" s="137"/>
      <c r="AC316" s="137"/>
    </row>
    <row r="317" spans="2:29" ht="15.75" customHeight="1">
      <c r="B317" s="68"/>
      <c r="C317" s="68"/>
      <c r="D317" s="63"/>
      <c r="E317" s="63"/>
      <c r="F317" s="63"/>
      <c r="G317" s="63"/>
      <c r="H317" s="63"/>
      <c r="I317" s="63"/>
      <c r="J317" s="63"/>
      <c r="K317" s="63"/>
      <c r="L317" s="63"/>
      <c r="M317" s="168"/>
      <c r="N317" s="63"/>
      <c r="O317" s="64"/>
      <c r="P317" s="64"/>
      <c r="Q317" s="64"/>
      <c r="R317" s="64"/>
      <c r="S317" s="64"/>
      <c r="T317" s="64"/>
      <c r="U317" s="64"/>
      <c r="V317" s="64"/>
      <c r="W317" s="64"/>
      <c r="X317" s="64"/>
      <c r="Y317" s="137"/>
      <c r="Z317" s="137"/>
      <c r="AA317" s="137"/>
      <c r="AB317" s="137"/>
      <c r="AC317" s="137"/>
    </row>
    <row r="318" spans="2:29" ht="15.75" customHeight="1">
      <c r="B318" s="68"/>
      <c r="C318" s="68"/>
      <c r="D318" s="63"/>
      <c r="E318" s="63"/>
      <c r="F318" s="63"/>
      <c r="G318" s="63"/>
      <c r="H318" s="63"/>
      <c r="I318" s="63"/>
      <c r="J318" s="63"/>
      <c r="K318" s="63"/>
      <c r="L318" s="63"/>
      <c r="M318" s="168"/>
      <c r="N318" s="63"/>
      <c r="O318" s="64"/>
      <c r="P318" s="64"/>
      <c r="Q318" s="64"/>
      <c r="R318" s="64"/>
      <c r="S318" s="64"/>
      <c r="T318" s="64"/>
      <c r="U318" s="64"/>
      <c r="V318" s="64"/>
      <c r="W318" s="64"/>
      <c r="X318" s="64"/>
      <c r="Y318" s="137"/>
      <c r="Z318" s="137"/>
      <c r="AA318" s="137"/>
      <c r="AB318" s="137"/>
      <c r="AC318" s="137"/>
    </row>
    <row r="319" spans="2:29" ht="15.75" customHeight="1">
      <c r="B319" s="68"/>
      <c r="C319" s="68"/>
      <c r="D319" s="63"/>
      <c r="E319" s="63"/>
      <c r="F319" s="63"/>
      <c r="G319" s="63"/>
      <c r="H319" s="63"/>
      <c r="I319" s="63"/>
      <c r="J319" s="63"/>
      <c r="K319" s="63"/>
      <c r="L319" s="63"/>
      <c r="M319" s="168"/>
      <c r="N319" s="63"/>
      <c r="O319" s="64"/>
      <c r="P319" s="64"/>
      <c r="Q319" s="64"/>
      <c r="R319" s="64"/>
      <c r="S319" s="64"/>
      <c r="T319" s="64"/>
      <c r="U319" s="64"/>
      <c r="V319" s="64"/>
      <c r="W319" s="64"/>
      <c r="X319" s="64"/>
      <c r="Y319" s="137"/>
      <c r="Z319" s="137"/>
      <c r="AA319" s="137"/>
      <c r="AB319" s="137"/>
      <c r="AC319" s="137"/>
    </row>
    <row r="320" spans="2:29" ht="15.75" customHeight="1">
      <c r="B320" s="68"/>
      <c r="C320" s="68"/>
      <c r="D320" s="63"/>
      <c r="E320" s="63"/>
      <c r="F320" s="63"/>
      <c r="G320" s="63"/>
      <c r="H320" s="63"/>
      <c r="I320" s="63"/>
      <c r="J320" s="63"/>
      <c r="K320" s="63"/>
      <c r="L320" s="63"/>
      <c r="M320" s="168"/>
      <c r="N320" s="63"/>
      <c r="O320" s="64"/>
      <c r="P320" s="64"/>
      <c r="Q320" s="64"/>
      <c r="R320" s="64"/>
      <c r="S320" s="64"/>
      <c r="T320" s="64"/>
      <c r="U320" s="64"/>
      <c r="V320" s="64"/>
      <c r="W320" s="64"/>
      <c r="X320" s="64"/>
      <c r="Y320" s="137"/>
      <c r="Z320" s="137"/>
      <c r="AA320" s="137"/>
      <c r="AB320" s="137"/>
      <c r="AC320" s="137"/>
    </row>
    <row r="321" spans="2:29" ht="15.75" customHeight="1">
      <c r="B321" s="68"/>
      <c r="C321" s="68"/>
      <c r="D321" s="63"/>
      <c r="E321" s="63"/>
      <c r="F321" s="63"/>
      <c r="G321" s="63"/>
      <c r="H321" s="63"/>
      <c r="I321" s="63"/>
      <c r="J321" s="63"/>
      <c r="K321" s="63"/>
      <c r="L321" s="63"/>
      <c r="M321" s="168"/>
      <c r="N321" s="63"/>
      <c r="O321" s="64"/>
      <c r="P321" s="64"/>
      <c r="Q321" s="64"/>
      <c r="R321" s="64"/>
      <c r="S321" s="64"/>
      <c r="T321" s="64"/>
      <c r="U321" s="64"/>
      <c r="V321" s="64"/>
      <c r="W321" s="64"/>
      <c r="X321" s="64"/>
      <c r="Y321" s="137"/>
      <c r="Z321" s="137"/>
      <c r="AA321" s="137"/>
      <c r="AB321" s="137"/>
      <c r="AC321" s="137"/>
    </row>
    <row r="322" spans="2:29" ht="15.75" customHeight="1">
      <c r="B322" s="68"/>
      <c r="C322" s="68"/>
      <c r="D322" s="63"/>
      <c r="E322" s="63"/>
      <c r="F322" s="63"/>
      <c r="G322" s="63"/>
      <c r="H322" s="63"/>
      <c r="I322" s="63"/>
      <c r="J322" s="63"/>
      <c r="K322" s="63"/>
      <c r="L322" s="63"/>
      <c r="M322" s="168"/>
      <c r="N322" s="63"/>
      <c r="O322" s="64"/>
      <c r="P322" s="64"/>
      <c r="Q322" s="64"/>
      <c r="R322" s="64"/>
      <c r="S322" s="64"/>
      <c r="T322" s="64"/>
      <c r="U322" s="64"/>
      <c r="V322" s="64"/>
      <c r="W322" s="64"/>
      <c r="X322" s="64"/>
      <c r="Y322" s="137"/>
      <c r="Z322" s="137"/>
      <c r="AA322" s="137"/>
      <c r="AB322" s="137"/>
      <c r="AC322" s="137"/>
    </row>
    <row r="323" spans="2:29" ht="15.75" customHeight="1">
      <c r="B323" s="68"/>
      <c r="C323" s="68"/>
      <c r="D323" s="63"/>
      <c r="E323" s="63"/>
      <c r="F323" s="63"/>
      <c r="G323" s="63"/>
      <c r="H323" s="63"/>
      <c r="I323" s="63"/>
      <c r="J323" s="63"/>
      <c r="K323" s="63"/>
      <c r="L323" s="63"/>
      <c r="M323" s="168"/>
      <c r="N323" s="63"/>
      <c r="O323" s="64"/>
      <c r="P323" s="64"/>
      <c r="Q323" s="64"/>
      <c r="R323" s="64"/>
      <c r="S323" s="64"/>
      <c r="T323" s="64"/>
      <c r="U323" s="64"/>
      <c r="V323" s="64"/>
      <c r="W323" s="64"/>
      <c r="X323" s="64"/>
      <c r="Y323" s="137"/>
      <c r="Z323" s="137"/>
      <c r="AA323" s="137"/>
      <c r="AB323" s="137"/>
      <c r="AC323" s="137"/>
    </row>
    <row r="324" spans="2:29" ht="15.75" customHeight="1">
      <c r="B324" s="68"/>
      <c r="C324" s="68"/>
      <c r="D324" s="63"/>
      <c r="E324" s="63"/>
      <c r="F324" s="63"/>
      <c r="G324" s="63"/>
      <c r="H324" s="63"/>
      <c r="I324" s="63"/>
      <c r="J324" s="63"/>
      <c r="K324" s="63"/>
      <c r="L324" s="63"/>
      <c r="M324" s="168"/>
      <c r="N324" s="63"/>
      <c r="O324" s="64"/>
      <c r="P324" s="64"/>
      <c r="Q324" s="64"/>
      <c r="R324" s="64"/>
      <c r="S324" s="64"/>
      <c r="T324" s="64"/>
      <c r="U324" s="64"/>
      <c r="V324" s="64"/>
      <c r="W324" s="64"/>
      <c r="X324" s="64"/>
      <c r="Y324" s="137"/>
      <c r="Z324" s="137"/>
      <c r="AA324" s="137"/>
      <c r="AB324" s="137"/>
      <c r="AC324" s="137"/>
    </row>
    <row r="325" spans="2:29" ht="15.75" customHeight="1">
      <c r="B325" s="68"/>
      <c r="C325" s="68"/>
      <c r="D325" s="63"/>
      <c r="E325" s="63"/>
      <c r="F325" s="63"/>
      <c r="G325" s="63"/>
      <c r="H325" s="63"/>
      <c r="I325" s="63"/>
      <c r="J325" s="63"/>
      <c r="K325" s="63"/>
      <c r="L325" s="63"/>
      <c r="M325" s="168"/>
      <c r="N325" s="63"/>
      <c r="O325" s="64"/>
      <c r="P325" s="64"/>
      <c r="Q325" s="64"/>
      <c r="R325" s="64"/>
      <c r="S325" s="64"/>
      <c r="T325" s="64"/>
      <c r="U325" s="64"/>
      <c r="V325" s="64"/>
      <c r="W325" s="64"/>
      <c r="X325" s="64"/>
      <c r="Y325" s="137"/>
      <c r="Z325" s="137"/>
      <c r="AA325" s="137"/>
      <c r="AB325" s="137"/>
      <c r="AC325" s="137"/>
    </row>
    <row r="326" spans="2:29" ht="15.75" customHeight="1">
      <c r="B326" s="68"/>
      <c r="C326" s="68"/>
      <c r="D326" s="63"/>
      <c r="E326" s="63"/>
      <c r="F326" s="63"/>
      <c r="G326" s="63"/>
      <c r="H326" s="63"/>
      <c r="I326" s="63"/>
      <c r="J326" s="63"/>
      <c r="K326" s="63"/>
      <c r="L326" s="63"/>
      <c r="M326" s="168"/>
      <c r="N326" s="63"/>
      <c r="O326" s="64"/>
      <c r="P326" s="64"/>
      <c r="Q326" s="64"/>
      <c r="R326" s="64"/>
      <c r="S326" s="64"/>
      <c r="T326" s="64"/>
      <c r="U326" s="64"/>
      <c r="V326" s="64"/>
      <c r="W326" s="64"/>
      <c r="X326" s="64"/>
      <c r="Y326" s="137"/>
      <c r="Z326" s="137"/>
      <c r="AA326" s="137"/>
      <c r="AB326" s="137"/>
      <c r="AC326" s="137"/>
    </row>
    <row r="327" spans="2:29" ht="15.75" customHeight="1">
      <c r="B327" s="68"/>
      <c r="C327" s="68"/>
      <c r="D327" s="63"/>
      <c r="E327" s="63"/>
      <c r="F327" s="63"/>
      <c r="G327" s="63"/>
      <c r="H327" s="63"/>
      <c r="I327" s="63"/>
      <c r="J327" s="63"/>
      <c r="K327" s="63"/>
      <c r="L327" s="63"/>
      <c r="M327" s="168"/>
      <c r="N327" s="63"/>
      <c r="O327" s="64"/>
      <c r="P327" s="64"/>
      <c r="Q327" s="64"/>
      <c r="R327" s="64"/>
      <c r="S327" s="64"/>
      <c r="T327" s="64"/>
      <c r="U327" s="64"/>
      <c r="V327" s="64"/>
      <c r="W327" s="64"/>
      <c r="X327" s="64"/>
      <c r="Y327" s="137"/>
      <c r="Z327" s="137"/>
      <c r="AA327" s="137"/>
      <c r="AB327" s="137"/>
      <c r="AC327" s="137"/>
    </row>
    <row r="328" spans="2:29" ht="15.75" customHeight="1">
      <c r="B328" s="68"/>
      <c r="C328" s="68"/>
      <c r="D328" s="63"/>
      <c r="E328" s="63"/>
      <c r="F328" s="63"/>
      <c r="G328" s="63"/>
      <c r="H328" s="63"/>
      <c r="I328" s="63"/>
      <c r="J328" s="63"/>
      <c r="K328" s="63"/>
      <c r="L328" s="63"/>
      <c r="M328" s="168"/>
      <c r="N328" s="63"/>
      <c r="O328" s="64"/>
      <c r="P328" s="64"/>
      <c r="Q328" s="64"/>
      <c r="R328" s="64"/>
      <c r="S328" s="64"/>
      <c r="T328" s="64"/>
      <c r="U328" s="64"/>
      <c r="V328" s="64"/>
      <c r="W328" s="64"/>
      <c r="X328" s="64"/>
      <c r="Y328" s="137"/>
      <c r="Z328" s="137"/>
      <c r="AA328" s="137"/>
      <c r="AB328" s="137"/>
      <c r="AC328" s="137"/>
    </row>
    <row r="329" spans="2:29" ht="15.75" customHeight="1">
      <c r="B329" s="68"/>
      <c r="C329" s="68"/>
      <c r="D329" s="63"/>
      <c r="E329" s="63"/>
      <c r="F329" s="63"/>
      <c r="G329" s="63"/>
      <c r="H329" s="63"/>
      <c r="I329" s="63"/>
      <c r="J329" s="63"/>
      <c r="K329" s="63"/>
      <c r="L329" s="63"/>
      <c r="M329" s="168"/>
      <c r="N329" s="63"/>
      <c r="O329" s="64"/>
      <c r="P329" s="64"/>
      <c r="Q329" s="64"/>
      <c r="R329" s="64"/>
      <c r="S329" s="64"/>
      <c r="T329" s="64"/>
      <c r="U329" s="64"/>
      <c r="V329" s="64"/>
      <c r="W329" s="64"/>
      <c r="X329" s="64"/>
      <c r="Y329" s="137"/>
      <c r="Z329" s="137"/>
      <c r="AA329" s="137"/>
      <c r="AB329" s="137"/>
      <c r="AC329" s="137"/>
    </row>
    <row r="330" spans="2:29" ht="15.75" customHeight="1">
      <c r="B330" s="68"/>
      <c r="C330" s="68"/>
      <c r="D330" s="63"/>
      <c r="E330" s="63"/>
      <c r="F330" s="63"/>
      <c r="G330" s="63"/>
      <c r="H330" s="63"/>
      <c r="I330" s="63"/>
      <c r="J330" s="63"/>
      <c r="K330" s="63"/>
      <c r="L330" s="63"/>
      <c r="M330" s="168"/>
      <c r="N330" s="63"/>
      <c r="O330" s="64"/>
      <c r="P330" s="64"/>
      <c r="Q330" s="64"/>
      <c r="R330" s="64"/>
      <c r="S330" s="64"/>
      <c r="T330" s="64"/>
      <c r="U330" s="64"/>
      <c r="V330" s="64"/>
      <c r="W330" s="64"/>
      <c r="X330" s="64"/>
      <c r="Y330" s="137"/>
      <c r="Z330" s="137"/>
      <c r="AA330" s="137"/>
      <c r="AB330" s="137"/>
      <c r="AC330" s="137"/>
    </row>
    <row r="331" spans="2:29" ht="15.75" customHeight="1">
      <c r="B331" s="68"/>
      <c r="C331" s="68"/>
      <c r="D331" s="63"/>
      <c r="E331" s="63"/>
      <c r="F331" s="63"/>
      <c r="G331" s="63"/>
      <c r="H331" s="63"/>
      <c r="I331" s="63"/>
      <c r="J331" s="63"/>
      <c r="K331" s="63"/>
      <c r="L331" s="63"/>
      <c r="M331" s="168"/>
      <c r="N331" s="63"/>
      <c r="O331" s="64"/>
      <c r="P331" s="64"/>
      <c r="Q331" s="64"/>
      <c r="R331" s="64"/>
      <c r="S331" s="64"/>
      <c r="T331" s="64"/>
      <c r="U331" s="64"/>
      <c r="V331" s="64"/>
      <c r="W331" s="64"/>
      <c r="X331" s="64"/>
      <c r="Y331" s="137"/>
      <c r="Z331" s="137"/>
      <c r="AA331" s="137"/>
      <c r="AB331" s="137"/>
      <c r="AC331" s="137"/>
    </row>
    <row r="332" spans="2:29" ht="15.75" customHeight="1">
      <c r="B332" s="68"/>
      <c r="C332" s="68"/>
      <c r="D332" s="63"/>
      <c r="E332" s="63"/>
      <c r="F332" s="63"/>
      <c r="G332" s="63"/>
      <c r="H332" s="63"/>
      <c r="I332" s="63"/>
      <c r="J332" s="63"/>
      <c r="K332" s="63"/>
      <c r="L332" s="63"/>
      <c r="M332" s="168"/>
      <c r="N332" s="63"/>
      <c r="O332" s="64"/>
      <c r="P332" s="64"/>
      <c r="Q332" s="64"/>
      <c r="R332" s="64"/>
      <c r="S332" s="64"/>
      <c r="T332" s="64"/>
      <c r="U332" s="64"/>
      <c r="V332" s="64"/>
      <c r="W332" s="64"/>
      <c r="X332" s="64"/>
      <c r="Y332" s="137"/>
      <c r="Z332" s="137"/>
      <c r="AA332" s="137"/>
      <c r="AB332" s="137"/>
      <c r="AC332" s="137"/>
    </row>
    <row r="333" spans="2:29" ht="15.75" customHeight="1">
      <c r="B333" s="68"/>
      <c r="C333" s="68"/>
      <c r="D333" s="63"/>
      <c r="E333" s="63"/>
      <c r="F333" s="63"/>
      <c r="G333" s="63"/>
      <c r="H333" s="63"/>
      <c r="I333" s="63"/>
      <c r="J333" s="63"/>
      <c r="K333" s="63"/>
      <c r="L333" s="63"/>
      <c r="M333" s="168"/>
      <c r="N333" s="63"/>
      <c r="O333" s="64"/>
      <c r="P333" s="64"/>
      <c r="Q333" s="64"/>
      <c r="R333" s="64"/>
      <c r="S333" s="64"/>
      <c r="T333" s="64"/>
      <c r="U333" s="64"/>
      <c r="V333" s="64"/>
      <c r="W333" s="64"/>
      <c r="X333" s="64"/>
      <c r="Y333" s="137"/>
      <c r="Z333" s="137"/>
      <c r="AA333" s="137"/>
      <c r="AB333" s="137"/>
      <c r="AC333" s="137"/>
    </row>
    <row r="334" spans="2:29" ht="15.75" customHeight="1">
      <c r="B334" s="68"/>
      <c r="C334" s="68"/>
      <c r="D334" s="63"/>
      <c r="E334" s="63"/>
      <c r="F334" s="63"/>
      <c r="G334" s="63"/>
      <c r="H334" s="63"/>
      <c r="I334" s="63"/>
      <c r="J334" s="63"/>
      <c r="K334" s="63"/>
      <c r="L334" s="63"/>
      <c r="M334" s="168"/>
      <c r="N334" s="63"/>
      <c r="O334" s="64"/>
      <c r="P334" s="64"/>
      <c r="Q334" s="64"/>
      <c r="R334" s="64"/>
      <c r="S334" s="64"/>
      <c r="T334" s="64"/>
      <c r="U334" s="64"/>
      <c r="V334" s="64"/>
      <c r="W334" s="64"/>
      <c r="X334" s="64"/>
      <c r="Y334" s="137"/>
      <c r="Z334" s="137"/>
      <c r="AA334" s="137"/>
      <c r="AB334" s="137"/>
      <c r="AC334" s="137"/>
    </row>
    <row r="335" spans="2:29" ht="15.75" customHeight="1">
      <c r="B335" s="68"/>
      <c r="C335" s="68"/>
      <c r="D335" s="63"/>
      <c r="E335" s="63"/>
      <c r="F335" s="63"/>
      <c r="G335" s="63"/>
      <c r="H335" s="63"/>
      <c r="I335" s="63"/>
      <c r="J335" s="63"/>
      <c r="K335" s="63"/>
      <c r="L335" s="63"/>
      <c r="M335" s="168"/>
      <c r="N335" s="63"/>
      <c r="O335" s="64"/>
      <c r="P335" s="64"/>
      <c r="Q335" s="64"/>
      <c r="R335" s="64"/>
      <c r="S335" s="64"/>
      <c r="T335" s="64"/>
      <c r="U335" s="64"/>
      <c r="V335" s="64"/>
      <c r="W335" s="64"/>
      <c r="X335" s="64"/>
      <c r="Y335" s="137"/>
      <c r="Z335" s="137"/>
      <c r="AA335" s="137"/>
      <c r="AB335" s="137"/>
      <c r="AC335" s="137"/>
    </row>
    <row r="336" spans="2:29" ht="15.75" customHeight="1">
      <c r="B336" s="68"/>
      <c r="C336" s="68"/>
      <c r="D336" s="63"/>
      <c r="E336" s="63"/>
      <c r="F336" s="63"/>
      <c r="G336" s="63"/>
      <c r="H336" s="63"/>
      <c r="I336" s="63"/>
      <c r="J336" s="63"/>
      <c r="K336" s="63"/>
      <c r="L336" s="63"/>
      <c r="M336" s="168"/>
      <c r="N336" s="63"/>
      <c r="O336" s="64"/>
      <c r="P336" s="64"/>
      <c r="Q336" s="64"/>
      <c r="R336" s="64"/>
      <c r="S336" s="64"/>
      <c r="T336" s="64"/>
      <c r="U336" s="64"/>
      <c r="V336" s="64"/>
      <c r="W336" s="64"/>
      <c r="X336" s="64"/>
      <c r="Y336" s="137"/>
      <c r="Z336" s="137"/>
      <c r="AA336" s="137"/>
      <c r="AB336" s="137"/>
      <c r="AC336" s="137"/>
    </row>
    <row r="337" spans="2:29" ht="15.75" customHeight="1">
      <c r="B337" s="68"/>
      <c r="C337" s="68"/>
      <c r="D337" s="63"/>
      <c r="E337" s="63"/>
      <c r="F337" s="63"/>
      <c r="G337" s="63"/>
      <c r="H337" s="63"/>
      <c r="I337" s="63"/>
      <c r="J337" s="63"/>
      <c r="K337" s="63"/>
      <c r="L337" s="63"/>
      <c r="M337" s="168"/>
      <c r="N337" s="63"/>
      <c r="O337" s="64"/>
      <c r="P337" s="64"/>
      <c r="Q337" s="64"/>
      <c r="R337" s="64"/>
      <c r="S337" s="64"/>
      <c r="T337" s="64"/>
      <c r="U337" s="64"/>
      <c r="V337" s="64"/>
      <c r="W337" s="64"/>
      <c r="X337" s="64"/>
      <c r="Y337" s="137"/>
      <c r="Z337" s="137"/>
      <c r="AA337" s="137"/>
      <c r="AB337" s="137"/>
      <c r="AC337" s="137"/>
    </row>
    <row r="338" spans="2:29" ht="15.75" customHeight="1">
      <c r="B338" s="68"/>
      <c r="C338" s="68"/>
      <c r="D338" s="63"/>
      <c r="E338" s="63"/>
      <c r="F338" s="63"/>
      <c r="G338" s="63"/>
      <c r="H338" s="63"/>
      <c r="I338" s="63"/>
      <c r="J338" s="63"/>
      <c r="K338" s="63"/>
      <c r="L338" s="63"/>
      <c r="M338" s="168"/>
      <c r="N338" s="63"/>
      <c r="O338" s="64"/>
      <c r="P338" s="64"/>
      <c r="Q338" s="64"/>
      <c r="R338" s="64"/>
      <c r="S338" s="64"/>
      <c r="T338" s="64"/>
      <c r="U338" s="64"/>
      <c r="V338" s="64"/>
      <c r="W338" s="64"/>
      <c r="X338" s="64"/>
      <c r="Y338" s="137"/>
      <c r="Z338" s="137"/>
      <c r="AA338" s="137"/>
      <c r="AB338" s="137"/>
      <c r="AC338" s="137"/>
    </row>
    <row r="339" spans="2:29" ht="15.75" customHeight="1">
      <c r="B339" s="68"/>
      <c r="C339" s="68"/>
      <c r="D339" s="63"/>
      <c r="E339" s="63"/>
      <c r="F339" s="63"/>
      <c r="G339" s="63"/>
      <c r="H339" s="63"/>
      <c r="I339" s="63"/>
      <c r="J339" s="63"/>
      <c r="K339" s="63"/>
      <c r="L339" s="63"/>
      <c r="M339" s="168"/>
      <c r="N339" s="63"/>
      <c r="O339" s="64"/>
      <c r="P339" s="64"/>
      <c r="Q339" s="64"/>
      <c r="R339" s="64"/>
      <c r="S339" s="64"/>
      <c r="T339" s="64"/>
      <c r="U339" s="64"/>
      <c r="V339" s="64"/>
      <c r="W339" s="64"/>
      <c r="X339" s="64"/>
      <c r="Y339" s="137"/>
      <c r="Z339" s="137"/>
      <c r="AA339" s="137"/>
      <c r="AB339" s="137"/>
      <c r="AC339" s="137"/>
    </row>
    <row r="340" spans="2:29" ht="15.75" customHeight="1">
      <c r="B340" s="68"/>
      <c r="C340" s="68"/>
      <c r="D340" s="63"/>
      <c r="E340" s="63"/>
      <c r="F340" s="63"/>
      <c r="G340" s="63"/>
      <c r="H340" s="63"/>
      <c r="I340" s="63"/>
      <c r="J340" s="63"/>
      <c r="K340" s="63"/>
      <c r="L340" s="63"/>
      <c r="M340" s="168"/>
      <c r="N340" s="63"/>
      <c r="O340" s="64"/>
      <c r="P340" s="64"/>
      <c r="Q340" s="64"/>
      <c r="R340" s="64"/>
      <c r="S340" s="64"/>
      <c r="T340" s="64"/>
      <c r="U340" s="64"/>
      <c r="V340" s="64"/>
      <c r="W340" s="64"/>
      <c r="X340" s="64"/>
      <c r="Y340" s="137"/>
      <c r="Z340" s="137"/>
      <c r="AA340" s="137"/>
      <c r="AB340" s="137"/>
      <c r="AC340" s="137"/>
    </row>
    <row r="341" spans="2:29" ht="15.75" customHeight="1">
      <c r="B341" s="68"/>
      <c r="C341" s="68"/>
      <c r="D341" s="63"/>
      <c r="E341" s="63"/>
      <c r="F341" s="63"/>
      <c r="G341" s="63"/>
      <c r="H341" s="63"/>
      <c r="I341" s="63"/>
      <c r="J341" s="63"/>
      <c r="K341" s="63"/>
      <c r="L341" s="63"/>
      <c r="M341" s="168"/>
      <c r="N341" s="63"/>
      <c r="O341" s="64"/>
      <c r="P341" s="64"/>
      <c r="Q341" s="64"/>
      <c r="R341" s="64"/>
      <c r="S341" s="64"/>
      <c r="T341" s="64"/>
      <c r="U341" s="64"/>
      <c r="V341" s="64"/>
      <c r="W341" s="64"/>
      <c r="X341" s="64"/>
      <c r="Y341" s="137"/>
      <c r="Z341" s="137"/>
      <c r="AA341" s="137"/>
      <c r="AB341" s="137"/>
      <c r="AC341" s="137"/>
    </row>
    <row r="342" spans="2:29" ht="15.75" customHeight="1">
      <c r="B342" s="68"/>
      <c r="C342" s="68"/>
      <c r="D342" s="63"/>
      <c r="E342" s="63"/>
      <c r="F342" s="63"/>
      <c r="G342" s="63"/>
      <c r="H342" s="63"/>
      <c r="I342" s="63"/>
      <c r="J342" s="63"/>
      <c r="K342" s="63"/>
      <c r="L342" s="63"/>
      <c r="M342" s="168"/>
      <c r="N342" s="63"/>
      <c r="O342" s="64"/>
      <c r="P342" s="64"/>
      <c r="Q342" s="64"/>
      <c r="R342" s="64"/>
      <c r="S342" s="64"/>
      <c r="T342" s="64"/>
      <c r="U342" s="64"/>
      <c r="V342" s="64"/>
      <c r="W342" s="64"/>
      <c r="X342" s="64"/>
      <c r="Y342" s="137"/>
      <c r="Z342" s="137"/>
      <c r="AA342" s="137"/>
      <c r="AB342" s="137"/>
      <c r="AC342" s="137"/>
    </row>
    <row r="343" spans="2:29" ht="15.75" customHeight="1">
      <c r="B343" s="68"/>
      <c r="C343" s="68"/>
      <c r="D343" s="63"/>
      <c r="E343" s="63"/>
      <c r="F343" s="63"/>
      <c r="G343" s="63"/>
      <c r="H343" s="63"/>
      <c r="I343" s="63"/>
      <c r="J343" s="63"/>
      <c r="K343" s="63"/>
      <c r="L343" s="63"/>
      <c r="M343" s="168"/>
      <c r="N343" s="63"/>
      <c r="O343" s="64"/>
      <c r="P343" s="64"/>
      <c r="Q343" s="64"/>
      <c r="R343" s="64"/>
      <c r="S343" s="64"/>
      <c r="T343" s="64"/>
      <c r="U343" s="64"/>
      <c r="V343" s="64"/>
      <c r="W343" s="64"/>
      <c r="X343" s="64"/>
      <c r="Y343" s="137"/>
      <c r="Z343" s="137"/>
      <c r="AA343" s="137"/>
      <c r="AB343" s="137"/>
      <c r="AC343" s="137"/>
    </row>
    <row r="344" spans="2:29" ht="15.75" customHeight="1">
      <c r="B344" s="68"/>
      <c r="C344" s="68"/>
      <c r="D344" s="63"/>
      <c r="E344" s="63"/>
      <c r="F344" s="63"/>
      <c r="G344" s="63"/>
      <c r="H344" s="63"/>
      <c r="I344" s="63"/>
      <c r="J344" s="63"/>
      <c r="K344" s="63"/>
      <c r="L344" s="63"/>
      <c r="M344" s="168"/>
      <c r="N344" s="63"/>
      <c r="O344" s="64"/>
      <c r="P344" s="64"/>
      <c r="Q344" s="64"/>
      <c r="R344" s="64"/>
      <c r="S344" s="64"/>
      <c r="T344" s="64"/>
      <c r="U344" s="64"/>
      <c r="V344" s="64"/>
      <c r="W344" s="64"/>
      <c r="X344" s="64"/>
      <c r="Y344" s="137"/>
      <c r="Z344" s="137"/>
      <c r="AA344" s="137"/>
      <c r="AB344" s="137"/>
      <c r="AC344" s="137"/>
    </row>
    <row r="345" spans="2:29" ht="15.75" customHeight="1">
      <c r="B345" s="68"/>
      <c r="C345" s="68"/>
      <c r="D345" s="63"/>
      <c r="E345" s="63"/>
      <c r="F345" s="63"/>
      <c r="G345" s="63"/>
      <c r="H345" s="63"/>
      <c r="I345" s="63"/>
      <c r="J345" s="63"/>
      <c r="K345" s="63"/>
      <c r="L345" s="63"/>
      <c r="M345" s="168"/>
      <c r="N345" s="63"/>
      <c r="O345" s="64"/>
      <c r="P345" s="64"/>
      <c r="Q345" s="64"/>
      <c r="R345" s="64"/>
      <c r="S345" s="64"/>
      <c r="T345" s="64"/>
      <c r="U345" s="64"/>
      <c r="V345" s="64"/>
      <c r="W345" s="64"/>
      <c r="X345" s="64"/>
      <c r="Y345" s="137"/>
      <c r="Z345" s="137"/>
      <c r="AA345" s="137"/>
      <c r="AB345" s="137"/>
      <c r="AC345" s="137"/>
    </row>
    <row r="346" spans="2:29" ht="15.75" customHeight="1">
      <c r="B346" s="68"/>
      <c r="C346" s="68"/>
      <c r="D346" s="63"/>
      <c r="E346" s="63"/>
      <c r="F346" s="63"/>
      <c r="G346" s="63"/>
      <c r="H346" s="63"/>
      <c r="I346" s="63"/>
      <c r="J346" s="63"/>
      <c r="K346" s="63"/>
      <c r="L346" s="63"/>
      <c r="M346" s="168"/>
      <c r="N346" s="63"/>
      <c r="O346" s="64"/>
      <c r="P346" s="64"/>
      <c r="Q346" s="64"/>
      <c r="R346" s="64"/>
      <c r="S346" s="64"/>
      <c r="T346" s="64"/>
      <c r="U346" s="64"/>
      <c r="V346" s="64"/>
      <c r="W346" s="64"/>
      <c r="X346" s="64"/>
      <c r="Y346" s="137"/>
      <c r="Z346" s="137"/>
      <c r="AA346" s="137"/>
      <c r="AB346" s="137"/>
      <c r="AC346" s="137"/>
    </row>
    <row r="347" spans="2:29" ht="15.75" customHeight="1">
      <c r="B347" s="68"/>
      <c r="C347" s="68"/>
      <c r="D347" s="63"/>
      <c r="E347" s="63"/>
      <c r="F347" s="63"/>
      <c r="G347" s="63"/>
      <c r="H347" s="63"/>
      <c r="I347" s="63"/>
      <c r="J347" s="63"/>
      <c r="K347" s="63"/>
      <c r="L347" s="63"/>
      <c r="M347" s="168"/>
      <c r="N347" s="63"/>
      <c r="O347" s="64"/>
      <c r="P347" s="64"/>
      <c r="Q347" s="64"/>
      <c r="R347" s="64"/>
      <c r="S347" s="64"/>
      <c r="T347" s="64"/>
      <c r="U347" s="64"/>
      <c r="V347" s="64"/>
      <c r="W347" s="64"/>
      <c r="X347" s="64"/>
      <c r="Y347" s="137"/>
      <c r="Z347" s="137"/>
      <c r="AA347" s="137"/>
      <c r="AB347" s="137"/>
      <c r="AC347" s="137"/>
    </row>
    <row r="348" spans="2:29" ht="15.75" customHeight="1">
      <c r="B348" s="68"/>
      <c r="C348" s="68"/>
      <c r="D348" s="63"/>
      <c r="E348" s="63"/>
      <c r="F348" s="63"/>
      <c r="G348" s="63"/>
      <c r="H348" s="63"/>
      <c r="I348" s="63"/>
      <c r="J348" s="63"/>
      <c r="K348" s="63"/>
      <c r="L348" s="63"/>
      <c r="M348" s="168"/>
      <c r="N348" s="63"/>
      <c r="O348" s="64"/>
      <c r="P348" s="64"/>
      <c r="Q348" s="64"/>
      <c r="R348" s="64"/>
      <c r="S348" s="64"/>
      <c r="T348" s="64"/>
      <c r="U348" s="64"/>
      <c r="V348" s="64"/>
      <c r="W348" s="64"/>
      <c r="X348" s="64"/>
      <c r="Y348" s="137"/>
      <c r="Z348" s="137"/>
      <c r="AA348" s="137"/>
      <c r="AB348" s="137"/>
      <c r="AC348" s="137"/>
    </row>
    <row r="349" spans="2:29" ht="15.75" customHeight="1">
      <c r="B349" s="68"/>
      <c r="C349" s="68"/>
      <c r="D349" s="63"/>
      <c r="E349" s="63"/>
      <c r="F349" s="63"/>
      <c r="G349" s="63"/>
      <c r="H349" s="63"/>
      <c r="I349" s="63"/>
      <c r="J349" s="63"/>
      <c r="K349" s="63"/>
      <c r="L349" s="63"/>
      <c r="M349" s="168"/>
      <c r="N349" s="63"/>
      <c r="O349" s="64"/>
      <c r="P349" s="64"/>
      <c r="Q349" s="64"/>
      <c r="R349" s="64"/>
      <c r="S349" s="64"/>
      <c r="T349" s="64"/>
      <c r="U349" s="64"/>
      <c r="V349" s="64"/>
      <c r="W349" s="64"/>
      <c r="X349" s="64"/>
      <c r="Y349" s="137"/>
      <c r="Z349" s="137"/>
      <c r="AA349" s="137"/>
      <c r="AB349" s="137"/>
      <c r="AC349" s="137"/>
    </row>
    <row r="350" spans="2:29" ht="15.75" customHeight="1">
      <c r="B350" s="68"/>
      <c r="C350" s="68"/>
      <c r="D350" s="63"/>
      <c r="E350" s="63"/>
      <c r="F350" s="63"/>
      <c r="G350" s="63"/>
      <c r="H350" s="63"/>
      <c r="I350" s="63"/>
      <c r="J350" s="63"/>
      <c r="K350" s="63"/>
      <c r="L350" s="63"/>
      <c r="M350" s="168"/>
      <c r="N350" s="63"/>
      <c r="O350" s="64"/>
      <c r="P350" s="64"/>
      <c r="Q350" s="64"/>
      <c r="R350" s="64"/>
      <c r="S350" s="64"/>
      <c r="T350" s="64"/>
      <c r="U350" s="64"/>
      <c r="V350" s="64"/>
      <c r="W350" s="64"/>
      <c r="X350" s="64"/>
      <c r="Y350" s="137"/>
      <c r="Z350" s="137"/>
      <c r="AA350" s="137"/>
      <c r="AB350" s="137"/>
      <c r="AC350" s="137"/>
    </row>
    <row r="351" spans="2:29" ht="15.75" customHeight="1">
      <c r="B351" s="68"/>
      <c r="C351" s="68"/>
      <c r="D351" s="63"/>
      <c r="E351" s="63"/>
      <c r="F351" s="63"/>
      <c r="G351" s="63"/>
      <c r="H351" s="63"/>
      <c r="I351" s="63"/>
      <c r="J351" s="63"/>
      <c r="K351" s="63"/>
      <c r="L351" s="63"/>
      <c r="M351" s="168"/>
      <c r="N351" s="63"/>
      <c r="O351" s="64"/>
      <c r="P351" s="64"/>
      <c r="Q351" s="64"/>
      <c r="R351" s="64"/>
      <c r="S351" s="64"/>
      <c r="T351" s="64"/>
      <c r="U351" s="64"/>
      <c r="V351" s="64"/>
      <c r="W351" s="64"/>
      <c r="X351" s="64"/>
      <c r="Y351" s="137"/>
      <c r="Z351" s="137"/>
      <c r="AA351" s="137"/>
      <c r="AB351" s="137"/>
      <c r="AC351" s="137"/>
    </row>
    <row r="352" spans="2:29" ht="15.75" customHeight="1">
      <c r="B352" s="68"/>
      <c r="C352" s="68"/>
      <c r="D352" s="63"/>
      <c r="E352" s="63"/>
      <c r="F352" s="63"/>
      <c r="G352" s="63"/>
      <c r="H352" s="63"/>
      <c r="I352" s="63"/>
      <c r="J352" s="63"/>
      <c r="K352" s="63"/>
      <c r="L352" s="63"/>
      <c r="M352" s="168"/>
      <c r="N352" s="63"/>
      <c r="O352" s="64"/>
      <c r="P352" s="64"/>
      <c r="Q352" s="64"/>
      <c r="R352" s="64"/>
      <c r="S352" s="64"/>
      <c r="T352" s="64"/>
      <c r="U352" s="64"/>
      <c r="V352" s="64"/>
      <c r="W352" s="64"/>
      <c r="X352" s="64"/>
      <c r="Y352" s="137"/>
      <c r="Z352" s="137"/>
      <c r="AA352" s="137"/>
      <c r="AB352" s="137"/>
      <c r="AC352" s="137"/>
    </row>
    <row r="353" spans="2:29" ht="15.75" customHeight="1">
      <c r="B353" s="68"/>
      <c r="C353" s="68"/>
      <c r="D353" s="63"/>
      <c r="E353" s="63"/>
      <c r="F353" s="63"/>
      <c r="G353" s="63"/>
      <c r="H353" s="63"/>
      <c r="I353" s="63"/>
      <c r="J353" s="63"/>
      <c r="K353" s="63"/>
      <c r="L353" s="63"/>
      <c r="M353" s="168"/>
      <c r="N353" s="63"/>
      <c r="O353" s="64"/>
      <c r="P353" s="64"/>
      <c r="Q353" s="64"/>
      <c r="R353" s="64"/>
      <c r="S353" s="64"/>
      <c r="T353" s="64"/>
      <c r="U353" s="64"/>
      <c r="V353" s="64"/>
      <c r="W353" s="64"/>
      <c r="X353" s="64"/>
      <c r="Y353" s="137"/>
      <c r="Z353" s="137"/>
      <c r="AA353" s="137"/>
      <c r="AB353" s="137"/>
      <c r="AC353" s="137"/>
    </row>
    <row r="354" spans="2:29" ht="15.75" customHeight="1">
      <c r="B354" s="68"/>
      <c r="C354" s="68"/>
      <c r="D354" s="63"/>
      <c r="E354" s="63"/>
      <c r="F354" s="63"/>
      <c r="G354" s="63"/>
      <c r="H354" s="63"/>
      <c r="I354" s="63"/>
      <c r="J354" s="63"/>
      <c r="K354" s="63"/>
      <c r="L354" s="63"/>
      <c r="M354" s="168"/>
      <c r="N354" s="63"/>
      <c r="O354" s="64"/>
      <c r="P354" s="64"/>
      <c r="Q354" s="64"/>
      <c r="R354" s="64"/>
      <c r="S354" s="64"/>
      <c r="T354" s="64"/>
      <c r="U354" s="64"/>
      <c r="V354" s="64"/>
      <c r="W354" s="64"/>
      <c r="X354" s="64"/>
      <c r="Y354" s="137"/>
      <c r="Z354" s="137"/>
      <c r="AA354" s="137"/>
      <c r="AB354" s="137"/>
      <c r="AC354" s="137"/>
    </row>
    <row r="355" spans="2:29" ht="15.75" customHeight="1">
      <c r="B355" s="68"/>
      <c r="C355" s="68"/>
      <c r="D355" s="63"/>
      <c r="E355" s="63"/>
      <c r="F355" s="63"/>
      <c r="G355" s="63"/>
      <c r="H355" s="63"/>
      <c r="I355" s="63"/>
      <c r="J355" s="63"/>
      <c r="K355" s="63"/>
      <c r="L355" s="63"/>
      <c r="M355" s="168"/>
      <c r="N355" s="63"/>
      <c r="O355" s="64"/>
      <c r="P355" s="64"/>
      <c r="Q355" s="64"/>
      <c r="R355" s="64"/>
      <c r="S355" s="64"/>
      <c r="T355" s="64"/>
      <c r="U355" s="64"/>
      <c r="V355" s="64"/>
      <c r="W355" s="64"/>
      <c r="X355" s="64"/>
      <c r="Y355" s="137"/>
      <c r="Z355" s="137"/>
      <c r="AA355" s="137"/>
      <c r="AB355" s="137"/>
      <c r="AC355" s="137"/>
    </row>
    <row r="356" spans="2:29" ht="15.75" customHeight="1">
      <c r="B356" s="68"/>
      <c r="C356" s="68"/>
      <c r="D356" s="63"/>
      <c r="E356" s="63"/>
      <c r="F356" s="63"/>
      <c r="G356" s="63"/>
      <c r="H356" s="63"/>
      <c r="I356" s="63"/>
      <c r="J356" s="63"/>
      <c r="K356" s="63"/>
      <c r="L356" s="63"/>
      <c r="M356" s="168"/>
      <c r="N356" s="63"/>
      <c r="O356" s="64"/>
      <c r="P356" s="64"/>
      <c r="Q356" s="64"/>
      <c r="R356" s="64"/>
      <c r="S356" s="64"/>
      <c r="T356" s="64"/>
      <c r="U356" s="64"/>
      <c r="V356" s="64"/>
      <c r="W356" s="64"/>
      <c r="X356" s="64"/>
      <c r="Y356" s="137"/>
      <c r="Z356" s="137"/>
      <c r="AA356" s="137"/>
      <c r="AB356" s="137"/>
      <c r="AC356" s="137"/>
    </row>
    <row r="357" spans="2:29" ht="15.75" customHeight="1">
      <c r="B357" s="68"/>
      <c r="C357" s="68"/>
      <c r="D357" s="63"/>
      <c r="E357" s="63"/>
      <c r="F357" s="63"/>
      <c r="G357" s="63"/>
      <c r="H357" s="63"/>
      <c r="I357" s="63"/>
      <c r="J357" s="63"/>
      <c r="K357" s="63"/>
      <c r="L357" s="63"/>
      <c r="M357" s="168"/>
      <c r="N357" s="63"/>
      <c r="O357" s="64"/>
      <c r="P357" s="64"/>
      <c r="Q357" s="64"/>
      <c r="R357" s="64"/>
      <c r="S357" s="64"/>
      <c r="T357" s="64"/>
      <c r="U357" s="64"/>
      <c r="V357" s="64"/>
      <c r="W357" s="64"/>
      <c r="X357" s="64"/>
      <c r="Y357" s="137"/>
      <c r="Z357" s="137"/>
      <c r="AA357" s="137"/>
      <c r="AB357" s="137"/>
      <c r="AC357" s="137"/>
    </row>
    <row r="358" spans="2:29" ht="15.75" customHeight="1">
      <c r="B358" s="68"/>
      <c r="C358" s="68"/>
      <c r="D358" s="63"/>
      <c r="E358" s="63"/>
      <c r="F358" s="63"/>
      <c r="G358" s="63"/>
      <c r="H358" s="63"/>
      <c r="I358" s="63"/>
      <c r="J358" s="63"/>
      <c r="K358" s="63"/>
      <c r="L358" s="63"/>
      <c r="M358" s="168"/>
      <c r="N358" s="63"/>
      <c r="O358" s="64"/>
      <c r="P358" s="64"/>
      <c r="Q358" s="64"/>
      <c r="R358" s="64"/>
      <c r="S358" s="64"/>
      <c r="T358" s="64"/>
      <c r="U358" s="64"/>
      <c r="V358" s="64"/>
      <c r="W358" s="64"/>
      <c r="X358" s="64"/>
      <c r="Y358" s="137"/>
      <c r="Z358" s="137"/>
      <c r="AA358" s="137"/>
      <c r="AB358" s="137"/>
      <c r="AC358" s="137"/>
    </row>
    <row r="359" spans="2:29" ht="15.75" customHeight="1">
      <c r="B359" s="68"/>
      <c r="C359" s="68"/>
      <c r="D359" s="63"/>
      <c r="E359" s="63"/>
      <c r="F359" s="63"/>
      <c r="G359" s="63"/>
      <c r="H359" s="63"/>
      <c r="I359" s="63"/>
      <c r="J359" s="63"/>
      <c r="K359" s="63"/>
      <c r="L359" s="63"/>
      <c r="M359" s="168"/>
      <c r="N359" s="63"/>
      <c r="O359" s="64"/>
      <c r="P359" s="64"/>
      <c r="Q359" s="64"/>
      <c r="R359" s="64"/>
      <c r="S359" s="64"/>
      <c r="T359" s="64"/>
      <c r="U359" s="64"/>
      <c r="V359" s="64"/>
      <c r="W359" s="64"/>
      <c r="X359" s="64"/>
      <c r="Y359" s="137"/>
      <c r="Z359" s="137"/>
      <c r="AA359" s="137"/>
      <c r="AB359" s="137"/>
      <c r="AC359" s="137"/>
    </row>
    <row r="360" spans="2:29" ht="15.75" customHeight="1">
      <c r="B360" s="68"/>
      <c r="C360" s="68"/>
      <c r="D360" s="63"/>
      <c r="E360" s="63"/>
      <c r="F360" s="63"/>
      <c r="G360" s="63"/>
      <c r="H360" s="63"/>
      <c r="I360" s="63"/>
      <c r="J360" s="63"/>
      <c r="K360" s="63"/>
      <c r="L360" s="63"/>
      <c r="M360" s="168"/>
      <c r="N360" s="63"/>
      <c r="O360" s="64"/>
      <c r="P360" s="64"/>
      <c r="Q360" s="64"/>
      <c r="R360" s="64"/>
      <c r="S360" s="64"/>
      <c r="T360" s="64"/>
      <c r="U360" s="64"/>
      <c r="V360" s="64"/>
      <c r="W360" s="64"/>
      <c r="X360" s="64"/>
      <c r="Y360" s="137"/>
      <c r="Z360" s="137"/>
      <c r="AA360" s="137"/>
      <c r="AB360" s="137"/>
      <c r="AC360" s="137"/>
    </row>
    <row r="361" spans="2:29" ht="15.75" customHeight="1">
      <c r="B361" s="68"/>
      <c r="C361" s="68"/>
      <c r="D361" s="63"/>
      <c r="E361" s="63"/>
      <c r="F361" s="63"/>
      <c r="G361" s="63"/>
      <c r="H361" s="63"/>
      <c r="I361" s="63"/>
      <c r="J361" s="63"/>
      <c r="K361" s="63"/>
      <c r="L361" s="63"/>
      <c r="M361" s="168"/>
      <c r="N361" s="63"/>
      <c r="O361" s="64"/>
      <c r="P361" s="64"/>
      <c r="Q361" s="64"/>
      <c r="R361" s="64"/>
      <c r="S361" s="64"/>
      <c r="T361" s="64"/>
      <c r="U361" s="64"/>
      <c r="V361" s="64"/>
      <c r="W361" s="64"/>
      <c r="X361" s="64"/>
      <c r="Y361" s="137"/>
      <c r="Z361" s="137"/>
      <c r="AA361" s="137"/>
      <c r="AB361" s="137"/>
      <c r="AC361" s="137"/>
    </row>
    <row r="362" spans="2:29" ht="15.75" customHeight="1">
      <c r="B362" s="68"/>
      <c r="C362" s="68"/>
      <c r="D362" s="63"/>
      <c r="E362" s="63"/>
      <c r="F362" s="63"/>
      <c r="G362" s="63"/>
      <c r="H362" s="63"/>
      <c r="I362" s="63"/>
      <c r="J362" s="63"/>
      <c r="K362" s="63"/>
      <c r="L362" s="63"/>
      <c r="M362" s="168"/>
      <c r="N362" s="63"/>
      <c r="O362" s="64"/>
      <c r="P362" s="64"/>
      <c r="Q362" s="64"/>
      <c r="R362" s="64"/>
      <c r="S362" s="64"/>
      <c r="T362" s="64"/>
      <c r="U362" s="64"/>
      <c r="V362" s="64"/>
      <c r="W362" s="64"/>
      <c r="X362" s="64"/>
      <c r="Y362" s="137"/>
      <c r="Z362" s="137"/>
      <c r="AA362" s="137"/>
      <c r="AB362" s="137"/>
      <c r="AC362" s="137"/>
    </row>
    <row r="363" spans="2:29" ht="15.75" customHeight="1">
      <c r="B363" s="68"/>
      <c r="C363" s="68"/>
      <c r="D363" s="63"/>
      <c r="E363" s="63"/>
      <c r="F363" s="63"/>
      <c r="G363" s="63"/>
      <c r="H363" s="63"/>
      <c r="I363" s="63"/>
      <c r="J363" s="63"/>
      <c r="K363" s="63"/>
      <c r="L363" s="63"/>
      <c r="M363" s="168"/>
      <c r="N363" s="63"/>
      <c r="O363" s="64"/>
      <c r="P363" s="64"/>
      <c r="Q363" s="64"/>
      <c r="R363" s="64"/>
      <c r="S363" s="64"/>
      <c r="T363" s="64"/>
      <c r="U363" s="64"/>
      <c r="V363" s="64"/>
      <c r="W363" s="64"/>
      <c r="X363" s="64"/>
      <c r="Y363" s="137"/>
      <c r="Z363" s="137"/>
      <c r="AA363" s="137"/>
      <c r="AB363" s="137"/>
      <c r="AC363" s="137"/>
    </row>
    <row r="364" spans="2:29" ht="15.75" customHeight="1">
      <c r="B364" s="68"/>
      <c r="C364" s="68"/>
      <c r="D364" s="63"/>
      <c r="E364" s="63"/>
      <c r="F364" s="63"/>
      <c r="G364" s="63"/>
      <c r="H364" s="63"/>
      <c r="I364" s="63"/>
      <c r="J364" s="63"/>
      <c r="K364" s="63"/>
      <c r="L364" s="63"/>
      <c r="M364" s="168"/>
      <c r="N364" s="63"/>
      <c r="O364" s="64"/>
      <c r="P364" s="64"/>
      <c r="Q364" s="64"/>
      <c r="R364" s="64"/>
      <c r="S364" s="64"/>
      <c r="T364" s="64"/>
      <c r="U364" s="64"/>
      <c r="V364" s="64"/>
      <c r="W364" s="64"/>
      <c r="X364" s="64"/>
      <c r="Y364" s="137"/>
      <c r="Z364" s="137"/>
      <c r="AA364" s="137"/>
      <c r="AB364" s="137"/>
      <c r="AC364" s="137"/>
    </row>
    <row r="365" spans="2:29" ht="15.75" customHeight="1">
      <c r="B365" s="68"/>
      <c r="C365" s="68"/>
      <c r="D365" s="63"/>
      <c r="E365" s="63"/>
      <c r="F365" s="63"/>
      <c r="G365" s="63"/>
      <c r="H365" s="63"/>
      <c r="I365" s="63"/>
      <c r="J365" s="63"/>
      <c r="K365" s="63"/>
      <c r="L365" s="63"/>
      <c r="M365" s="168"/>
      <c r="N365" s="63"/>
      <c r="O365" s="64"/>
      <c r="P365" s="64"/>
      <c r="Q365" s="64"/>
      <c r="R365" s="64"/>
      <c r="S365" s="64"/>
      <c r="T365" s="64"/>
      <c r="U365" s="64"/>
      <c r="V365" s="64"/>
      <c r="W365" s="64"/>
      <c r="X365" s="64"/>
      <c r="Y365" s="137"/>
      <c r="Z365" s="137"/>
      <c r="AA365" s="137"/>
      <c r="AB365" s="137"/>
      <c r="AC365" s="137"/>
    </row>
    <row r="366" spans="2:29" ht="15.75" customHeight="1">
      <c r="B366" s="68"/>
      <c r="C366" s="68"/>
      <c r="D366" s="63"/>
      <c r="E366" s="63"/>
      <c r="F366" s="63"/>
      <c r="G366" s="63"/>
      <c r="H366" s="63"/>
      <c r="I366" s="63"/>
      <c r="J366" s="63"/>
      <c r="K366" s="63"/>
      <c r="L366" s="63"/>
      <c r="M366" s="168"/>
      <c r="N366" s="63"/>
      <c r="O366" s="64"/>
      <c r="P366" s="64"/>
      <c r="Q366" s="64"/>
      <c r="R366" s="64"/>
      <c r="S366" s="64"/>
      <c r="T366" s="64"/>
      <c r="U366" s="64"/>
      <c r="V366" s="64"/>
      <c r="W366" s="64"/>
      <c r="X366" s="64"/>
      <c r="Y366" s="137"/>
      <c r="Z366" s="137"/>
      <c r="AA366" s="137"/>
      <c r="AB366" s="137"/>
      <c r="AC366" s="137"/>
    </row>
    <row r="367" spans="2:29" ht="15.75" customHeight="1">
      <c r="B367" s="68"/>
      <c r="C367" s="68"/>
      <c r="D367" s="63"/>
      <c r="E367" s="63"/>
      <c r="F367" s="63"/>
      <c r="G367" s="63"/>
      <c r="H367" s="63"/>
      <c r="I367" s="63"/>
      <c r="J367" s="63"/>
      <c r="K367" s="63"/>
      <c r="L367" s="63"/>
      <c r="M367" s="168"/>
      <c r="N367" s="63"/>
      <c r="O367" s="64"/>
      <c r="P367" s="64"/>
      <c r="Q367" s="64"/>
      <c r="R367" s="64"/>
      <c r="S367" s="64"/>
      <c r="T367" s="64"/>
      <c r="U367" s="64"/>
      <c r="V367" s="64"/>
      <c r="W367" s="64"/>
      <c r="X367" s="64"/>
      <c r="Y367" s="137"/>
      <c r="Z367" s="137"/>
      <c r="AA367" s="137"/>
      <c r="AB367" s="137"/>
      <c r="AC367" s="137"/>
    </row>
    <row r="368" spans="2:29" ht="15.75" customHeight="1">
      <c r="B368" s="68"/>
      <c r="C368" s="68"/>
      <c r="D368" s="63"/>
      <c r="E368" s="63"/>
      <c r="F368" s="63"/>
      <c r="G368" s="63"/>
      <c r="H368" s="63"/>
      <c r="I368" s="63"/>
      <c r="J368" s="63"/>
      <c r="K368" s="63"/>
      <c r="L368" s="63"/>
      <c r="M368" s="168"/>
      <c r="N368" s="63"/>
      <c r="O368" s="64"/>
      <c r="P368" s="64"/>
      <c r="Q368" s="64"/>
      <c r="R368" s="64"/>
      <c r="S368" s="64"/>
      <c r="T368" s="64"/>
      <c r="U368" s="64"/>
      <c r="V368" s="64"/>
      <c r="W368" s="64"/>
      <c r="X368" s="64"/>
      <c r="Y368" s="137"/>
      <c r="Z368" s="137"/>
      <c r="AA368" s="137"/>
      <c r="AB368" s="137"/>
      <c r="AC368" s="137"/>
    </row>
    <row r="369" spans="2:29" ht="15.75" customHeight="1">
      <c r="B369" s="68"/>
      <c r="C369" s="68"/>
      <c r="D369" s="63"/>
      <c r="E369" s="63"/>
      <c r="F369" s="63"/>
      <c r="G369" s="63"/>
      <c r="H369" s="63"/>
      <c r="I369" s="63"/>
      <c r="J369" s="63"/>
      <c r="K369" s="63"/>
      <c r="L369" s="63"/>
      <c r="M369" s="168"/>
      <c r="N369" s="63"/>
      <c r="O369" s="64"/>
      <c r="P369" s="64"/>
      <c r="Q369" s="64"/>
      <c r="R369" s="64"/>
      <c r="S369" s="64"/>
      <c r="T369" s="64"/>
      <c r="U369" s="64"/>
      <c r="V369" s="64"/>
      <c r="W369" s="64"/>
      <c r="X369" s="64"/>
      <c r="Y369" s="137"/>
      <c r="Z369" s="137"/>
      <c r="AA369" s="137"/>
      <c r="AB369" s="137"/>
      <c r="AC369" s="137"/>
    </row>
    <row r="370" spans="2:29" ht="15.75" customHeight="1">
      <c r="B370" s="68"/>
      <c r="C370" s="68"/>
      <c r="D370" s="63"/>
      <c r="E370" s="63"/>
      <c r="F370" s="63"/>
      <c r="G370" s="63"/>
      <c r="H370" s="63"/>
      <c r="I370" s="63"/>
      <c r="J370" s="63"/>
      <c r="K370" s="63"/>
      <c r="L370" s="63"/>
      <c r="M370" s="168"/>
      <c r="N370" s="63"/>
      <c r="O370" s="64"/>
      <c r="P370" s="64"/>
      <c r="Q370" s="64"/>
      <c r="R370" s="64"/>
      <c r="S370" s="64"/>
      <c r="T370" s="64"/>
      <c r="U370" s="64"/>
      <c r="V370" s="64"/>
      <c r="W370" s="64"/>
      <c r="X370" s="64"/>
      <c r="Y370" s="137"/>
      <c r="Z370" s="137"/>
      <c r="AA370" s="137"/>
      <c r="AB370" s="137"/>
      <c r="AC370" s="137"/>
    </row>
    <row r="371" spans="2:29" ht="15.75" customHeight="1">
      <c r="B371" s="68"/>
      <c r="C371" s="68"/>
      <c r="D371" s="63"/>
      <c r="E371" s="63"/>
      <c r="F371" s="63"/>
      <c r="G371" s="63"/>
      <c r="H371" s="63"/>
      <c r="I371" s="63"/>
      <c r="J371" s="63"/>
      <c r="K371" s="63"/>
      <c r="L371" s="63"/>
      <c r="M371" s="168"/>
      <c r="N371" s="63"/>
      <c r="O371" s="64"/>
      <c r="P371" s="64"/>
      <c r="Q371" s="64"/>
      <c r="R371" s="64"/>
      <c r="S371" s="64"/>
      <c r="T371" s="64"/>
      <c r="U371" s="64"/>
      <c r="V371" s="64"/>
      <c r="W371" s="64"/>
      <c r="X371" s="64"/>
      <c r="Y371" s="137"/>
      <c r="Z371" s="137"/>
      <c r="AA371" s="137"/>
      <c r="AB371" s="137"/>
      <c r="AC371" s="137"/>
    </row>
    <row r="372" spans="2:29" ht="15.75" customHeight="1">
      <c r="B372" s="68"/>
      <c r="C372" s="68"/>
      <c r="D372" s="63"/>
      <c r="E372" s="63"/>
      <c r="F372" s="63"/>
      <c r="G372" s="63"/>
      <c r="H372" s="63"/>
      <c r="I372" s="63"/>
      <c r="J372" s="63"/>
      <c r="K372" s="63"/>
      <c r="L372" s="63"/>
      <c r="M372" s="168"/>
      <c r="N372" s="63"/>
      <c r="O372" s="64"/>
      <c r="P372" s="64"/>
      <c r="Q372" s="64"/>
      <c r="R372" s="64"/>
      <c r="S372" s="64"/>
      <c r="T372" s="64"/>
      <c r="U372" s="64"/>
      <c r="V372" s="64"/>
      <c r="W372" s="64"/>
      <c r="X372" s="64"/>
      <c r="Y372" s="137"/>
      <c r="Z372" s="137"/>
      <c r="AA372" s="137"/>
      <c r="AB372" s="137"/>
      <c r="AC372" s="137"/>
    </row>
    <row r="373" spans="2:29" ht="15.75" customHeight="1">
      <c r="B373" s="68"/>
      <c r="C373" s="68"/>
      <c r="D373" s="63"/>
      <c r="E373" s="63"/>
      <c r="F373" s="63"/>
      <c r="G373" s="63"/>
      <c r="H373" s="63"/>
      <c r="I373" s="63"/>
      <c r="J373" s="63"/>
      <c r="K373" s="63"/>
      <c r="L373" s="63"/>
      <c r="M373" s="168"/>
      <c r="N373" s="63"/>
      <c r="O373" s="64"/>
      <c r="P373" s="64"/>
      <c r="Q373" s="64"/>
      <c r="R373" s="64"/>
      <c r="S373" s="64"/>
      <c r="T373" s="64"/>
      <c r="U373" s="64"/>
      <c r="V373" s="64"/>
      <c r="W373" s="64"/>
      <c r="X373" s="64"/>
      <c r="Y373" s="137"/>
      <c r="Z373" s="137"/>
      <c r="AA373" s="137"/>
      <c r="AB373" s="137"/>
      <c r="AC373" s="137"/>
    </row>
    <row r="374" spans="2:29" ht="15.75" customHeight="1">
      <c r="B374" s="68"/>
      <c r="C374" s="68"/>
      <c r="D374" s="63"/>
      <c r="E374" s="63"/>
      <c r="F374" s="63"/>
      <c r="G374" s="63"/>
      <c r="H374" s="63"/>
      <c r="I374" s="63"/>
      <c r="J374" s="63"/>
      <c r="K374" s="63"/>
      <c r="L374" s="63"/>
      <c r="M374" s="168"/>
      <c r="N374" s="63"/>
      <c r="O374" s="64"/>
      <c r="P374" s="64"/>
      <c r="Q374" s="64"/>
      <c r="R374" s="64"/>
      <c r="S374" s="64"/>
      <c r="T374" s="64"/>
      <c r="U374" s="64"/>
      <c r="V374" s="64"/>
      <c r="W374" s="64"/>
      <c r="X374" s="64"/>
      <c r="Y374" s="137"/>
      <c r="Z374" s="137"/>
      <c r="AA374" s="137"/>
      <c r="AB374" s="137"/>
      <c r="AC374" s="137"/>
    </row>
    <row r="375" spans="2:29" ht="15.75" customHeight="1">
      <c r="B375" s="68"/>
      <c r="C375" s="68"/>
      <c r="D375" s="63"/>
      <c r="E375" s="63"/>
      <c r="F375" s="63"/>
      <c r="G375" s="63"/>
      <c r="H375" s="63"/>
      <c r="I375" s="63"/>
      <c r="J375" s="63"/>
      <c r="K375" s="63"/>
      <c r="L375" s="63"/>
      <c r="M375" s="168"/>
      <c r="N375" s="63"/>
      <c r="O375" s="64"/>
      <c r="P375" s="64"/>
      <c r="Q375" s="64"/>
      <c r="R375" s="64"/>
      <c r="S375" s="64"/>
      <c r="T375" s="64"/>
      <c r="U375" s="64"/>
      <c r="V375" s="64"/>
      <c r="W375" s="64"/>
      <c r="X375" s="64"/>
      <c r="Y375" s="137"/>
      <c r="Z375" s="137"/>
      <c r="AA375" s="137"/>
      <c r="AB375" s="137"/>
      <c r="AC375" s="137"/>
    </row>
    <row r="376" spans="2:29" ht="15.75" customHeight="1">
      <c r="B376" s="68"/>
      <c r="C376" s="68"/>
      <c r="D376" s="63"/>
      <c r="E376" s="63"/>
      <c r="F376" s="63"/>
      <c r="G376" s="63"/>
      <c r="H376" s="63"/>
      <c r="I376" s="63"/>
      <c r="J376" s="63"/>
      <c r="K376" s="63"/>
      <c r="L376" s="63"/>
      <c r="M376" s="168"/>
      <c r="N376" s="63"/>
      <c r="O376" s="64"/>
      <c r="P376" s="64"/>
      <c r="Q376" s="64"/>
      <c r="R376" s="64"/>
      <c r="S376" s="64"/>
      <c r="T376" s="64"/>
      <c r="U376" s="64"/>
      <c r="V376" s="64"/>
      <c r="W376" s="64"/>
      <c r="X376" s="64"/>
      <c r="Y376" s="137"/>
      <c r="Z376" s="137"/>
      <c r="AA376" s="137"/>
      <c r="AB376" s="137"/>
      <c r="AC376" s="137"/>
    </row>
    <row r="377" spans="2:29" ht="15.75" customHeight="1">
      <c r="B377" s="68"/>
      <c r="C377" s="68"/>
      <c r="D377" s="63"/>
      <c r="E377" s="63"/>
      <c r="F377" s="63"/>
      <c r="G377" s="63"/>
      <c r="H377" s="63"/>
      <c r="I377" s="63"/>
      <c r="J377" s="63"/>
      <c r="K377" s="63"/>
      <c r="L377" s="63"/>
      <c r="M377" s="168"/>
      <c r="N377" s="63"/>
      <c r="O377" s="64"/>
      <c r="P377" s="64"/>
      <c r="Q377" s="64"/>
      <c r="R377" s="64"/>
      <c r="S377" s="64"/>
      <c r="T377" s="64"/>
      <c r="U377" s="64"/>
      <c r="V377" s="64"/>
      <c r="W377" s="64"/>
      <c r="X377" s="64"/>
      <c r="Y377" s="137"/>
      <c r="Z377" s="137"/>
      <c r="AA377" s="137"/>
      <c r="AB377" s="137"/>
      <c r="AC377" s="137"/>
    </row>
    <row r="378" spans="2:29" ht="15.75" customHeight="1">
      <c r="B378" s="68"/>
      <c r="C378" s="68"/>
      <c r="D378" s="63"/>
      <c r="E378" s="63"/>
      <c r="F378" s="63"/>
      <c r="G378" s="63"/>
      <c r="H378" s="63"/>
      <c r="I378" s="63"/>
      <c r="J378" s="63"/>
      <c r="K378" s="63"/>
      <c r="L378" s="63"/>
      <c r="M378" s="168"/>
      <c r="N378" s="63"/>
      <c r="O378" s="64"/>
      <c r="P378" s="64"/>
      <c r="Q378" s="64"/>
      <c r="R378" s="64"/>
      <c r="S378" s="64"/>
      <c r="T378" s="64"/>
      <c r="U378" s="64"/>
      <c r="V378" s="64"/>
      <c r="W378" s="64"/>
      <c r="X378" s="64"/>
      <c r="Y378" s="137"/>
      <c r="Z378" s="137"/>
      <c r="AA378" s="137"/>
      <c r="AB378" s="137"/>
      <c r="AC378" s="137"/>
    </row>
    <row r="379" spans="2:29" ht="15.75" customHeight="1">
      <c r="B379" s="68"/>
      <c r="C379" s="68"/>
      <c r="D379" s="63"/>
      <c r="E379" s="63"/>
      <c r="F379" s="63"/>
      <c r="G379" s="63"/>
      <c r="H379" s="63"/>
      <c r="I379" s="63"/>
      <c r="J379" s="63"/>
      <c r="K379" s="63"/>
      <c r="L379" s="63"/>
      <c r="M379" s="168"/>
      <c r="N379" s="63"/>
      <c r="O379" s="64"/>
      <c r="P379" s="64"/>
      <c r="Q379" s="64"/>
      <c r="R379" s="64"/>
      <c r="S379" s="64"/>
      <c r="T379" s="64"/>
      <c r="U379" s="64"/>
      <c r="V379" s="64"/>
      <c r="W379" s="64"/>
      <c r="X379" s="64"/>
      <c r="Y379" s="137"/>
      <c r="Z379" s="137"/>
      <c r="AA379" s="137"/>
      <c r="AB379" s="137"/>
      <c r="AC379" s="137"/>
    </row>
    <row r="380" spans="2:29" ht="15.75" customHeight="1">
      <c r="C380" s="63"/>
      <c r="D380" s="63"/>
      <c r="E380" s="63"/>
      <c r="F380" s="63"/>
      <c r="G380" s="63"/>
      <c r="H380" s="63"/>
      <c r="I380" s="63"/>
      <c r="J380" s="63"/>
      <c r="K380" s="63"/>
      <c r="L380" s="63"/>
      <c r="M380" s="168"/>
      <c r="N380" s="63"/>
      <c r="O380" s="64"/>
      <c r="P380" s="64"/>
      <c r="Q380" s="64"/>
      <c r="R380" s="64"/>
      <c r="S380" s="64"/>
      <c r="T380" s="64"/>
      <c r="U380" s="64"/>
      <c r="V380" s="64"/>
      <c r="W380" s="64"/>
      <c r="X380" s="64"/>
      <c r="Y380" s="137"/>
      <c r="Z380" s="137"/>
      <c r="AA380" s="137"/>
      <c r="AB380" s="137"/>
      <c r="AC380" s="137"/>
    </row>
    <row r="381" spans="2:29" ht="15.75" customHeight="1">
      <c r="C381" s="63"/>
      <c r="D381" s="63"/>
      <c r="E381" s="63"/>
      <c r="F381" s="63"/>
      <c r="G381" s="63"/>
      <c r="H381" s="63"/>
      <c r="I381" s="63"/>
      <c r="J381" s="63"/>
      <c r="K381" s="63"/>
      <c r="L381" s="63"/>
      <c r="M381" s="168"/>
      <c r="N381" s="63"/>
      <c r="O381" s="64"/>
      <c r="P381" s="64"/>
      <c r="Q381" s="64"/>
      <c r="R381" s="64"/>
      <c r="S381" s="64"/>
      <c r="T381" s="64"/>
      <c r="U381" s="64"/>
      <c r="V381" s="64"/>
      <c r="W381" s="64"/>
      <c r="X381" s="64"/>
      <c r="Y381" s="137"/>
      <c r="Z381" s="137"/>
      <c r="AA381" s="137"/>
      <c r="AB381" s="137"/>
      <c r="AC381" s="137"/>
    </row>
    <row r="382" spans="2:29" ht="15.75" customHeight="1">
      <c r="C382" s="63"/>
      <c r="D382" s="63"/>
      <c r="E382" s="63"/>
      <c r="F382" s="63"/>
      <c r="G382" s="63"/>
      <c r="H382" s="63"/>
      <c r="I382" s="63"/>
      <c r="J382" s="63"/>
      <c r="K382" s="63"/>
      <c r="L382" s="63"/>
      <c r="M382" s="168"/>
      <c r="N382" s="63"/>
      <c r="O382" s="64"/>
      <c r="P382" s="64"/>
      <c r="Q382" s="64"/>
      <c r="R382" s="64"/>
      <c r="S382" s="64"/>
      <c r="T382" s="64"/>
      <c r="U382" s="64"/>
      <c r="V382" s="64"/>
      <c r="W382" s="64"/>
      <c r="X382" s="64"/>
      <c r="Y382" s="137"/>
      <c r="Z382" s="137"/>
      <c r="AA382" s="137"/>
      <c r="AB382" s="137"/>
      <c r="AC382" s="137"/>
    </row>
    <row r="383" spans="2:29" ht="15.75" customHeight="1">
      <c r="C383" s="63"/>
      <c r="D383" s="63"/>
      <c r="E383" s="63"/>
      <c r="F383" s="63"/>
      <c r="G383" s="63"/>
      <c r="H383" s="63"/>
      <c r="I383" s="63"/>
      <c r="J383" s="63"/>
      <c r="K383" s="63"/>
      <c r="L383" s="63"/>
      <c r="M383" s="168"/>
      <c r="N383" s="63"/>
      <c r="O383" s="64"/>
      <c r="P383" s="64"/>
      <c r="Q383" s="64"/>
      <c r="R383" s="64"/>
      <c r="S383" s="64"/>
      <c r="T383" s="64"/>
      <c r="U383" s="64"/>
      <c r="V383" s="64"/>
      <c r="W383" s="64"/>
      <c r="X383" s="64"/>
      <c r="Y383" s="137"/>
      <c r="Z383" s="137"/>
      <c r="AA383" s="137"/>
      <c r="AB383" s="137"/>
      <c r="AC383" s="137"/>
    </row>
    <row r="384" spans="2:29" ht="15.75" customHeight="1">
      <c r="C384" s="63"/>
      <c r="D384" s="63"/>
      <c r="E384" s="63"/>
      <c r="F384" s="63"/>
      <c r="G384" s="63"/>
      <c r="H384" s="63"/>
      <c r="I384" s="63"/>
      <c r="J384" s="63"/>
      <c r="K384" s="63"/>
      <c r="L384" s="63"/>
      <c r="M384" s="168"/>
      <c r="N384" s="63"/>
      <c r="O384" s="64"/>
      <c r="P384" s="64"/>
      <c r="Q384" s="64"/>
      <c r="R384" s="64"/>
      <c r="S384" s="64"/>
      <c r="T384" s="64"/>
      <c r="U384" s="64"/>
      <c r="V384" s="64"/>
      <c r="W384" s="64"/>
      <c r="X384" s="64"/>
      <c r="Y384" s="137"/>
      <c r="Z384" s="137"/>
      <c r="AA384" s="137"/>
      <c r="AB384" s="137"/>
      <c r="AC384" s="137"/>
    </row>
    <row r="385" spans="3:29" ht="15.75" customHeight="1">
      <c r="C385" s="63"/>
      <c r="D385" s="63"/>
      <c r="E385" s="63"/>
      <c r="F385" s="63"/>
      <c r="G385" s="63"/>
      <c r="H385" s="63"/>
      <c r="I385" s="63"/>
      <c r="J385" s="63"/>
      <c r="K385" s="63"/>
      <c r="L385" s="63"/>
      <c r="M385" s="168"/>
      <c r="N385" s="63"/>
      <c r="O385" s="64"/>
      <c r="P385" s="64"/>
      <c r="Q385" s="64"/>
      <c r="R385" s="64"/>
      <c r="S385" s="64"/>
      <c r="T385" s="64"/>
      <c r="U385" s="64"/>
      <c r="V385" s="64"/>
      <c r="W385" s="64"/>
      <c r="X385" s="64"/>
      <c r="Y385" s="137"/>
      <c r="Z385" s="137"/>
      <c r="AA385" s="137"/>
      <c r="AB385" s="137"/>
      <c r="AC385" s="137"/>
    </row>
    <row r="386" spans="3:29" ht="15.75" customHeight="1">
      <c r="C386" s="63"/>
      <c r="D386" s="63"/>
      <c r="E386" s="63"/>
      <c r="F386" s="63"/>
      <c r="G386" s="63"/>
      <c r="H386" s="63"/>
      <c r="I386" s="63"/>
      <c r="J386" s="63"/>
      <c r="K386" s="63"/>
      <c r="L386" s="63"/>
      <c r="M386" s="168"/>
      <c r="N386" s="63"/>
      <c r="O386" s="64"/>
      <c r="P386" s="64"/>
      <c r="Q386" s="64"/>
      <c r="R386" s="64"/>
      <c r="S386" s="64"/>
      <c r="T386" s="64"/>
      <c r="U386" s="64"/>
      <c r="V386" s="64"/>
      <c r="W386" s="64"/>
      <c r="X386" s="64"/>
      <c r="Y386" s="137"/>
      <c r="Z386" s="137"/>
      <c r="AA386" s="137"/>
      <c r="AB386" s="137"/>
      <c r="AC386" s="137"/>
    </row>
    <row r="387" spans="3:29" ht="15.75" customHeight="1">
      <c r="C387" s="63"/>
      <c r="D387" s="63"/>
      <c r="E387" s="63"/>
      <c r="F387" s="63"/>
      <c r="G387" s="63"/>
      <c r="H387" s="63"/>
      <c r="I387" s="63"/>
      <c r="J387" s="63"/>
      <c r="K387" s="63"/>
      <c r="L387" s="63"/>
      <c r="M387" s="168"/>
      <c r="N387" s="63"/>
      <c r="O387" s="64"/>
      <c r="P387" s="64"/>
      <c r="Q387" s="64"/>
      <c r="R387" s="64"/>
      <c r="S387" s="64"/>
      <c r="T387" s="64"/>
      <c r="U387" s="64"/>
      <c r="V387" s="64"/>
      <c r="W387" s="64"/>
      <c r="X387" s="64"/>
      <c r="Y387" s="137"/>
      <c r="Z387" s="137"/>
      <c r="AA387" s="137"/>
      <c r="AB387" s="137"/>
      <c r="AC387" s="137"/>
    </row>
    <row r="388" spans="3:29" ht="15.75" customHeight="1">
      <c r="C388" s="63"/>
      <c r="D388" s="63"/>
      <c r="E388" s="63"/>
      <c r="F388" s="63"/>
      <c r="G388" s="63"/>
      <c r="H388" s="63"/>
      <c r="I388" s="63"/>
      <c r="J388" s="63"/>
      <c r="K388" s="63"/>
      <c r="L388" s="63"/>
      <c r="M388" s="168"/>
      <c r="N388" s="63"/>
      <c r="O388" s="64"/>
      <c r="P388" s="64"/>
      <c r="Q388" s="64"/>
      <c r="R388" s="64"/>
      <c r="S388" s="64"/>
      <c r="T388" s="64"/>
      <c r="U388" s="64"/>
      <c r="V388" s="64"/>
      <c r="W388" s="64"/>
      <c r="X388" s="64"/>
      <c r="Y388" s="137"/>
      <c r="Z388" s="137"/>
      <c r="AA388" s="137"/>
      <c r="AB388" s="137"/>
      <c r="AC388" s="137"/>
    </row>
    <row r="389" spans="3:29" ht="15.75" customHeight="1">
      <c r="C389" s="63"/>
      <c r="D389" s="63"/>
      <c r="E389" s="63"/>
      <c r="F389" s="63"/>
      <c r="G389" s="63"/>
      <c r="H389" s="63"/>
      <c r="I389" s="63"/>
      <c r="J389" s="63"/>
      <c r="K389" s="63"/>
      <c r="L389" s="63"/>
      <c r="M389" s="168"/>
      <c r="N389" s="63"/>
      <c r="O389" s="64"/>
      <c r="P389" s="64"/>
      <c r="Q389" s="64"/>
      <c r="R389" s="64"/>
      <c r="S389" s="64"/>
      <c r="T389" s="64"/>
      <c r="U389" s="64"/>
      <c r="V389" s="64"/>
      <c r="W389" s="64"/>
      <c r="X389" s="64"/>
      <c r="Y389" s="137"/>
      <c r="Z389" s="137"/>
      <c r="AA389" s="137"/>
      <c r="AB389" s="137"/>
      <c r="AC389" s="137"/>
    </row>
    <row r="390" spans="3:29" ht="15.75" customHeight="1">
      <c r="C390" s="63"/>
      <c r="D390" s="63"/>
      <c r="E390" s="63"/>
      <c r="F390" s="63"/>
      <c r="G390" s="63"/>
      <c r="H390" s="63"/>
      <c r="I390" s="63"/>
      <c r="J390" s="63"/>
      <c r="K390" s="63"/>
      <c r="L390" s="63"/>
      <c r="M390" s="168"/>
      <c r="N390" s="63"/>
      <c r="O390" s="64"/>
      <c r="P390" s="64"/>
      <c r="Q390" s="64"/>
      <c r="R390" s="64"/>
      <c r="S390" s="64"/>
      <c r="T390" s="64"/>
      <c r="U390" s="64"/>
      <c r="V390" s="64"/>
      <c r="W390" s="64"/>
      <c r="X390" s="64"/>
      <c r="Y390" s="137"/>
      <c r="Z390" s="137"/>
      <c r="AA390" s="137"/>
      <c r="AB390" s="137"/>
      <c r="AC390" s="137"/>
    </row>
    <row r="391" spans="3:29" ht="15.75" customHeight="1">
      <c r="C391" s="63"/>
      <c r="D391" s="63"/>
      <c r="E391" s="63"/>
      <c r="F391" s="63"/>
      <c r="G391" s="63"/>
      <c r="H391" s="63"/>
      <c r="I391" s="63"/>
      <c r="J391" s="63"/>
      <c r="K391" s="63"/>
      <c r="L391" s="63"/>
      <c r="M391" s="168"/>
      <c r="N391" s="63"/>
      <c r="O391" s="64"/>
      <c r="P391" s="64"/>
      <c r="Q391" s="64"/>
      <c r="R391" s="64"/>
      <c r="S391" s="64"/>
      <c r="T391" s="64"/>
      <c r="U391" s="64"/>
      <c r="V391" s="64"/>
      <c r="W391" s="64"/>
      <c r="X391" s="64"/>
      <c r="Y391" s="137"/>
      <c r="Z391" s="137"/>
      <c r="AA391" s="137"/>
      <c r="AB391" s="137"/>
      <c r="AC391" s="137"/>
    </row>
    <row r="392" spans="3:29" ht="15.75" customHeight="1">
      <c r="C392" s="63"/>
      <c r="D392" s="63"/>
      <c r="E392" s="63"/>
      <c r="F392" s="63"/>
      <c r="G392" s="63"/>
      <c r="H392" s="63"/>
      <c r="I392" s="63"/>
      <c r="J392" s="63"/>
      <c r="K392" s="63"/>
      <c r="L392" s="63"/>
      <c r="M392" s="168"/>
      <c r="N392" s="63"/>
      <c r="O392" s="64"/>
      <c r="P392" s="64"/>
      <c r="Q392" s="64"/>
      <c r="R392" s="64"/>
      <c r="S392" s="64"/>
      <c r="T392" s="64"/>
      <c r="U392" s="64"/>
      <c r="V392" s="64"/>
      <c r="W392" s="64"/>
      <c r="X392" s="64"/>
      <c r="Y392" s="137"/>
      <c r="Z392" s="137"/>
      <c r="AA392" s="137"/>
      <c r="AB392" s="137"/>
      <c r="AC392" s="137"/>
    </row>
    <row r="393" spans="3:29" ht="15.75" customHeight="1">
      <c r="C393" s="63"/>
      <c r="D393" s="63"/>
      <c r="E393" s="63"/>
      <c r="F393" s="63"/>
      <c r="G393" s="63"/>
      <c r="H393" s="63"/>
      <c r="I393" s="63"/>
      <c r="J393" s="63"/>
      <c r="K393" s="63"/>
      <c r="L393" s="63"/>
      <c r="M393" s="168"/>
      <c r="N393" s="63"/>
      <c r="O393" s="64"/>
      <c r="P393" s="64"/>
      <c r="Q393" s="64"/>
      <c r="R393" s="64"/>
      <c r="S393" s="64"/>
      <c r="T393" s="64"/>
      <c r="U393" s="64"/>
      <c r="V393" s="64"/>
      <c r="W393" s="64"/>
      <c r="X393" s="64"/>
      <c r="Y393" s="137"/>
      <c r="Z393" s="137"/>
      <c r="AA393" s="137"/>
      <c r="AB393" s="137"/>
      <c r="AC393" s="137"/>
    </row>
    <row r="394" spans="3:29" ht="15.75" customHeight="1">
      <c r="C394" s="63"/>
      <c r="D394" s="63"/>
      <c r="E394" s="63"/>
      <c r="F394" s="63"/>
      <c r="G394" s="63"/>
      <c r="H394" s="63"/>
      <c r="I394" s="63"/>
      <c r="J394" s="63"/>
      <c r="K394" s="63"/>
      <c r="L394" s="63"/>
      <c r="M394" s="168"/>
      <c r="N394" s="63"/>
      <c r="O394" s="64"/>
      <c r="P394" s="64"/>
      <c r="Q394" s="64"/>
      <c r="R394" s="64"/>
      <c r="S394" s="64"/>
      <c r="T394" s="64"/>
      <c r="U394" s="64"/>
      <c r="V394" s="64"/>
      <c r="W394" s="64"/>
      <c r="X394" s="64"/>
      <c r="Y394" s="137"/>
      <c r="Z394" s="137"/>
      <c r="AA394" s="137"/>
      <c r="AB394" s="137"/>
      <c r="AC394" s="137"/>
    </row>
    <row r="395" spans="3:29" ht="15.75" customHeight="1">
      <c r="C395" s="63"/>
      <c r="D395" s="63"/>
      <c r="E395" s="63"/>
      <c r="F395" s="63"/>
      <c r="G395" s="63"/>
      <c r="H395" s="63"/>
      <c r="I395" s="63"/>
      <c r="J395" s="63"/>
      <c r="K395" s="63"/>
      <c r="L395" s="63"/>
      <c r="M395" s="168"/>
      <c r="N395" s="63"/>
      <c r="O395" s="64"/>
      <c r="P395" s="64"/>
      <c r="Q395" s="64"/>
      <c r="R395" s="64"/>
      <c r="S395" s="64"/>
      <c r="T395" s="64"/>
      <c r="U395" s="64"/>
      <c r="V395" s="64"/>
      <c r="W395" s="64"/>
      <c r="X395" s="64"/>
      <c r="Y395" s="137"/>
      <c r="Z395" s="137"/>
      <c r="AA395" s="137"/>
      <c r="AB395" s="137"/>
      <c r="AC395" s="137"/>
    </row>
    <row r="396" spans="3:29" ht="15.75" customHeight="1">
      <c r="C396" s="63"/>
      <c r="D396" s="63"/>
      <c r="E396" s="63"/>
      <c r="F396" s="63"/>
      <c r="G396" s="63"/>
      <c r="H396" s="63"/>
      <c r="I396" s="63"/>
      <c r="J396" s="63"/>
      <c r="K396" s="63"/>
      <c r="L396" s="63"/>
      <c r="M396" s="168"/>
      <c r="N396" s="63"/>
      <c r="O396" s="64"/>
      <c r="P396" s="64"/>
      <c r="Q396" s="64"/>
      <c r="R396" s="64"/>
      <c r="S396" s="64"/>
      <c r="T396" s="64"/>
      <c r="U396" s="64"/>
      <c r="V396" s="64"/>
      <c r="W396" s="64"/>
      <c r="X396" s="64"/>
      <c r="Y396" s="137"/>
      <c r="Z396" s="137"/>
      <c r="AA396" s="137"/>
      <c r="AB396" s="137"/>
      <c r="AC396" s="137"/>
    </row>
    <row r="397" spans="3:29" ht="15.75" customHeight="1">
      <c r="C397" s="63"/>
      <c r="D397" s="63"/>
      <c r="E397" s="63"/>
      <c r="F397" s="63"/>
      <c r="G397" s="63"/>
      <c r="H397" s="63"/>
      <c r="I397" s="63"/>
      <c r="J397" s="63"/>
      <c r="K397" s="63"/>
      <c r="L397" s="63"/>
      <c r="M397" s="168"/>
      <c r="N397" s="63"/>
      <c r="O397" s="64"/>
      <c r="P397" s="64"/>
      <c r="Q397" s="64"/>
      <c r="R397" s="64"/>
      <c r="S397" s="64"/>
      <c r="T397" s="64"/>
      <c r="U397" s="64"/>
      <c r="V397" s="64"/>
      <c r="W397" s="64"/>
      <c r="X397" s="64"/>
      <c r="Y397" s="137"/>
      <c r="Z397" s="137"/>
      <c r="AA397" s="137"/>
      <c r="AB397" s="137"/>
      <c r="AC397" s="137"/>
    </row>
    <row r="398" spans="3:29" ht="15.75" customHeight="1">
      <c r="C398" s="63"/>
      <c r="D398" s="63"/>
      <c r="E398" s="63"/>
      <c r="F398" s="63"/>
      <c r="G398" s="63"/>
      <c r="H398" s="63"/>
      <c r="I398" s="63"/>
      <c r="J398" s="63"/>
      <c r="K398" s="63"/>
      <c r="L398" s="63"/>
      <c r="M398" s="168"/>
      <c r="N398" s="63"/>
      <c r="O398" s="64"/>
      <c r="P398" s="64"/>
      <c r="Q398" s="64"/>
      <c r="R398" s="64"/>
      <c r="S398" s="64"/>
      <c r="T398" s="64"/>
      <c r="U398" s="64"/>
      <c r="V398" s="64"/>
      <c r="W398" s="64"/>
      <c r="X398" s="64"/>
      <c r="Y398" s="137"/>
      <c r="Z398" s="137"/>
      <c r="AA398" s="137"/>
      <c r="AB398" s="137"/>
      <c r="AC398" s="137"/>
    </row>
    <row r="399" spans="3:29" ht="15.75" customHeight="1">
      <c r="C399" s="63"/>
      <c r="D399" s="63"/>
      <c r="E399" s="63"/>
      <c r="F399" s="63"/>
      <c r="G399" s="63"/>
      <c r="H399" s="63"/>
      <c r="I399" s="63"/>
      <c r="J399" s="63"/>
      <c r="K399" s="63"/>
      <c r="L399" s="63"/>
      <c r="M399" s="168"/>
      <c r="N399" s="63"/>
      <c r="O399" s="64"/>
      <c r="P399" s="64"/>
      <c r="Q399" s="64"/>
      <c r="R399" s="64"/>
      <c r="S399" s="64"/>
      <c r="T399" s="64"/>
      <c r="U399" s="64"/>
      <c r="V399" s="64"/>
      <c r="W399" s="64"/>
      <c r="X399" s="64"/>
      <c r="Y399" s="137"/>
      <c r="Z399" s="137"/>
      <c r="AA399" s="137"/>
      <c r="AB399" s="137"/>
      <c r="AC399" s="137"/>
    </row>
    <row r="400" spans="3:29" ht="15.75" customHeight="1">
      <c r="C400" s="63"/>
      <c r="D400" s="63"/>
      <c r="E400" s="63"/>
      <c r="F400" s="63"/>
      <c r="G400" s="63"/>
      <c r="H400" s="63"/>
      <c r="I400" s="63"/>
      <c r="J400" s="63"/>
      <c r="K400" s="63"/>
      <c r="L400" s="63"/>
      <c r="M400" s="168"/>
      <c r="N400" s="63"/>
      <c r="O400" s="64"/>
      <c r="P400" s="64"/>
      <c r="Q400" s="64"/>
      <c r="R400" s="64"/>
      <c r="S400" s="64"/>
      <c r="T400" s="64"/>
      <c r="U400" s="64"/>
      <c r="V400" s="64"/>
      <c r="W400" s="64"/>
      <c r="X400" s="64"/>
      <c r="Y400" s="137"/>
      <c r="Z400" s="137"/>
      <c r="AA400" s="137"/>
      <c r="AB400" s="137"/>
      <c r="AC400" s="137"/>
    </row>
    <row r="401" spans="3:29" ht="15.75" customHeight="1">
      <c r="C401" s="63"/>
      <c r="D401" s="63"/>
      <c r="E401" s="63"/>
      <c r="F401" s="63"/>
      <c r="G401" s="63"/>
      <c r="H401" s="63"/>
      <c r="I401" s="63"/>
      <c r="J401" s="63"/>
      <c r="K401" s="63"/>
      <c r="L401" s="63"/>
      <c r="M401" s="168"/>
      <c r="N401" s="63"/>
      <c r="O401" s="64"/>
      <c r="P401" s="64"/>
      <c r="Q401" s="64"/>
      <c r="R401" s="64"/>
      <c r="S401" s="64"/>
      <c r="T401" s="64"/>
      <c r="U401" s="64"/>
      <c r="V401" s="64"/>
      <c r="W401" s="64"/>
      <c r="X401" s="64"/>
      <c r="Y401" s="137"/>
      <c r="Z401" s="137"/>
      <c r="AA401" s="137"/>
      <c r="AB401" s="137"/>
      <c r="AC401" s="137"/>
    </row>
    <row r="402" spans="3:29" ht="15.75" customHeight="1">
      <c r="C402" s="63"/>
      <c r="D402" s="63"/>
      <c r="E402" s="63"/>
      <c r="F402" s="63"/>
      <c r="G402" s="63"/>
      <c r="H402" s="63"/>
      <c r="I402" s="63"/>
      <c r="J402" s="63"/>
      <c r="K402" s="63"/>
      <c r="L402" s="63"/>
      <c r="M402" s="168"/>
      <c r="N402" s="63"/>
      <c r="O402" s="64"/>
      <c r="P402" s="64"/>
      <c r="Q402" s="64"/>
      <c r="R402" s="64"/>
      <c r="S402" s="64"/>
      <c r="T402" s="64"/>
      <c r="U402" s="64"/>
      <c r="V402" s="64"/>
      <c r="W402" s="64"/>
      <c r="X402" s="64"/>
      <c r="Y402" s="137"/>
      <c r="Z402" s="137"/>
      <c r="AA402" s="137"/>
      <c r="AB402" s="137"/>
      <c r="AC402" s="137"/>
    </row>
    <row r="403" spans="3:29" ht="15.75" customHeight="1">
      <c r="C403" s="63"/>
      <c r="D403" s="63"/>
      <c r="E403" s="63"/>
      <c r="F403" s="63"/>
      <c r="G403" s="63"/>
      <c r="H403" s="63"/>
      <c r="I403" s="63"/>
      <c r="J403" s="63"/>
      <c r="K403" s="63"/>
      <c r="L403" s="63"/>
      <c r="M403" s="168"/>
      <c r="N403" s="63"/>
      <c r="O403" s="64"/>
      <c r="P403" s="64"/>
      <c r="Q403" s="64"/>
      <c r="R403" s="64"/>
      <c r="S403" s="64"/>
      <c r="T403" s="64"/>
      <c r="U403" s="64"/>
      <c r="V403" s="64"/>
      <c r="W403" s="64"/>
      <c r="X403" s="64"/>
      <c r="Y403" s="137"/>
      <c r="Z403" s="137"/>
      <c r="AA403" s="137"/>
      <c r="AB403" s="137"/>
      <c r="AC403" s="137"/>
    </row>
    <row r="404" spans="3:29" ht="15.75" customHeight="1">
      <c r="C404" s="63"/>
      <c r="D404" s="63"/>
      <c r="E404" s="63"/>
      <c r="F404" s="63"/>
      <c r="G404" s="63"/>
      <c r="H404" s="63"/>
      <c r="I404" s="63"/>
      <c r="J404" s="63"/>
      <c r="K404" s="63"/>
      <c r="L404" s="63"/>
      <c r="M404" s="168"/>
      <c r="N404" s="63"/>
      <c r="O404" s="64"/>
      <c r="P404" s="64"/>
      <c r="Q404" s="64"/>
      <c r="R404" s="64"/>
      <c r="S404" s="64"/>
      <c r="T404" s="64"/>
      <c r="U404" s="64"/>
      <c r="V404" s="64"/>
      <c r="W404" s="64"/>
      <c r="X404" s="64"/>
      <c r="Y404" s="137"/>
      <c r="Z404" s="137"/>
      <c r="AA404" s="137"/>
      <c r="AB404" s="137"/>
      <c r="AC404" s="137"/>
    </row>
    <row r="405" spans="3:29" ht="15.75" customHeight="1">
      <c r="C405" s="63"/>
      <c r="D405" s="63"/>
      <c r="E405" s="63"/>
      <c r="F405" s="63"/>
      <c r="G405" s="63"/>
      <c r="H405" s="63"/>
      <c r="I405" s="63"/>
      <c r="J405" s="63"/>
      <c r="K405" s="63"/>
      <c r="L405" s="63"/>
      <c r="M405" s="168"/>
      <c r="N405" s="63"/>
      <c r="O405" s="64"/>
      <c r="P405" s="64"/>
      <c r="Q405" s="64"/>
      <c r="R405" s="64"/>
      <c r="S405" s="64"/>
      <c r="T405" s="64"/>
      <c r="U405" s="64"/>
      <c r="V405" s="64"/>
      <c r="W405" s="64"/>
      <c r="X405" s="64"/>
      <c r="Y405" s="137"/>
      <c r="Z405" s="137"/>
      <c r="AA405" s="137"/>
      <c r="AB405" s="137"/>
      <c r="AC405" s="137"/>
    </row>
    <row r="406" spans="3:29" ht="15.75" customHeight="1">
      <c r="C406" s="63"/>
      <c r="D406" s="63"/>
      <c r="E406" s="63"/>
      <c r="F406" s="63"/>
      <c r="G406" s="63"/>
      <c r="H406" s="63"/>
      <c r="I406" s="63"/>
      <c r="J406" s="63"/>
      <c r="K406" s="63"/>
      <c r="L406" s="63"/>
      <c r="M406" s="168"/>
      <c r="N406" s="63"/>
      <c r="O406" s="64"/>
      <c r="P406" s="64"/>
      <c r="Q406" s="64"/>
      <c r="R406" s="64"/>
      <c r="S406" s="64"/>
      <c r="T406" s="64"/>
      <c r="U406" s="64"/>
      <c r="V406" s="64"/>
      <c r="W406" s="64"/>
      <c r="X406" s="64"/>
      <c r="Y406" s="137"/>
      <c r="Z406" s="137"/>
      <c r="AA406" s="137"/>
      <c r="AB406" s="137"/>
      <c r="AC406" s="137"/>
    </row>
    <row r="407" spans="3:29" ht="15.75" customHeight="1">
      <c r="C407" s="63"/>
      <c r="D407" s="63"/>
      <c r="E407" s="63"/>
      <c r="F407" s="63"/>
      <c r="G407" s="63"/>
      <c r="H407" s="63"/>
      <c r="I407" s="63"/>
      <c r="J407" s="63"/>
      <c r="K407" s="63"/>
      <c r="L407" s="63"/>
      <c r="M407" s="168"/>
      <c r="N407" s="63"/>
      <c r="O407" s="64"/>
      <c r="P407" s="64"/>
      <c r="Q407" s="64"/>
      <c r="R407" s="64"/>
      <c r="S407" s="64"/>
      <c r="T407" s="64"/>
      <c r="U407" s="64"/>
      <c r="V407" s="64"/>
      <c r="W407" s="64"/>
      <c r="X407" s="64"/>
      <c r="Y407" s="137"/>
      <c r="Z407" s="137"/>
      <c r="AA407" s="137"/>
      <c r="AB407" s="137"/>
      <c r="AC407" s="137"/>
    </row>
    <row r="408" spans="3:29" ht="15.75" customHeight="1">
      <c r="C408" s="63"/>
      <c r="D408" s="63"/>
      <c r="E408" s="63"/>
      <c r="F408" s="63"/>
      <c r="G408" s="63"/>
      <c r="H408" s="63"/>
      <c r="I408" s="63"/>
      <c r="J408" s="63"/>
      <c r="K408" s="63"/>
      <c r="L408" s="63"/>
      <c r="M408" s="168"/>
      <c r="N408" s="63"/>
      <c r="O408" s="64"/>
      <c r="P408" s="64"/>
      <c r="Q408" s="64"/>
      <c r="R408" s="64"/>
      <c r="S408" s="64"/>
      <c r="T408" s="64"/>
      <c r="U408" s="64"/>
      <c r="V408" s="64"/>
      <c r="W408" s="64"/>
      <c r="X408" s="64"/>
      <c r="Y408" s="137"/>
      <c r="Z408" s="137"/>
      <c r="AA408" s="137"/>
      <c r="AB408" s="137"/>
      <c r="AC408" s="137"/>
    </row>
    <row r="409" spans="3:29" ht="15.75" customHeight="1">
      <c r="C409" s="63"/>
      <c r="D409" s="63"/>
      <c r="E409" s="63"/>
      <c r="F409" s="63"/>
      <c r="G409" s="63"/>
      <c r="H409" s="63"/>
      <c r="I409" s="63"/>
      <c r="J409" s="63"/>
      <c r="K409" s="63"/>
      <c r="L409" s="63"/>
      <c r="M409" s="168"/>
      <c r="N409" s="63"/>
      <c r="O409" s="64"/>
      <c r="P409" s="64"/>
      <c r="Q409" s="64"/>
      <c r="R409" s="64"/>
      <c r="S409" s="64"/>
      <c r="T409" s="64"/>
      <c r="U409" s="64"/>
      <c r="V409" s="64"/>
      <c r="W409" s="64"/>
      <c r="X409" s="64"/>
      <c r="Y409" s="137"/>
      <c r="Z409" s="137"/>
      <c r="AA409" s="137"/>
      <c r="AB409" s="137"/>
      <c r="AC409" s="137"/>
    </row>
    <row r="410" spans="3:29" ht="15.75" customHeight="1">
      <c r="C410" s="63"/>
      <c r="D410" s="63"/>
      <c r="E410" s="63"/>
      <c r="F410" s="63"/>
      <c r="G410" s="63"/>
      <c r="H410" s="63"/>
      <c r="I410" s="63"/>
      <c r="J410" s="63"/>
      <c r="K410" s="63"/>
      <c r="L410" s="63"/>
      <c r="M410" s="168"/>
      <c r="N410" s="63"/>
      <c r="O410" s="64"/>
      <c r="P410" s="64"/>
      <c r="Q410" s="64"/>
      <c r="R410" s="64"/>
      <c r="S410" s="64"/>
      <c r="T410" s="64"/>
      <c r="U410" s="64"/>
      <c r="V410" s="64"/>
      <c r="W410" s="64"/>
      <c r="X410" s="64"/>
      <c r="Y410" s="137"/>
      <c r="Z410" s="137"/>
      <c r="AA410" s="137"/>
      <c r="AB410" s="137"/>
      <c r="AC410" s="137"/>
    </row>
    <row r="411" spans="3:29" ht="15.75" customHeight="1">
      <c r="C411" s="63"/>
      <c r="D411" s="63"/>
      <c r="E411" s="63"/>
      <c r="F411" s="63"/>
      <c r="G411" s="63"/>
      <c r="H411" s="63"/>
      <c r="I411" s="63"/>
      <c r="J411" s="63"/>
      <c r="K411" s="63"/>
      <c r="L411" s="63"/>
      <c r="M411" s="168"/>
      <c r="N411" s="63"/>
      <c r="O411" s="64"/>
      <c r="P411" s="64"/>
      <c r="Q411" s="64"/>
      <c r="R411" s="64"/>
      <c r="S411" s="64"/>
      <c r="T411" s="64"/>
      <c r="U411" s="64"/>
      <c r="V411" s="64"/>
      <c r="W411" s="64"/>
      <c r="X411" s="64"/>
      <c r="Y411" s="137"/>
      <c r="Z411" s="137"/>
      <c r="AA411" s="137"/>
      <c r="AB411" s="137"/>
      <c r="AC411" s="137"/>
    </row>
    <row r="412" spans="3:29" ht="15.75" customHeight="1">
      <c r="C412" s="63"/>
      <c r="D412" s="63"/>
      <c r="E412" s="63"/>
      <c r="F412" s="63"/>
      <c r="G412" s="63"/>
      <c r="H412" s="63"/>
      <c r="I412" s="63"/>
      <c r="J412" s="63"/>
      <c r="K412" s="63"/>
      <c r="L412" s="63"/>
      <c r="M412" s="168"/>
      <c r="N412" s="63"/>
      <c r="O412" s="64"/>
      <c r="P412" s="64"/>
      <c r="Q412" s="64"/>
      <c r="R412" s="64"/>
      <c r="S412" s="64"/>
      <c r="T412" s="64"/>
      <c r="U412" s="64"/>
      <c r="V412" s="64"/>
      <c r="W412" s="64"/>
      <c r="X412" s="64"/>
      <c r="Y412" s="137"/>
      <c r="Z412" s="137"/>
      <c r="AA412" s="137"/>
      <c r="AB412" s="137"/>
      <c r="AC412" s="137"/>
    </row>
    <row r="413" spans="3:29" ht="15.75" customHeight="1">
      <c r="C413" s="63"/>
      <c r="D413" s="63"/>
      <c r="E413" s="63"/>
      <c r="F413" s="63"/>
      <c r="G413" s="63"/>
      <c r="H413" s="63"/>
      <c r="I413" s="63"/>
      <c r="J413" s="63"/>
      <c r="K413" s="63"/>
      <c r="L413" s="63"/>
      <c r="M413" s="168"/>
      <c r="N413" s="63"/>
      <c r="O413" s="64"/>
      <c r="P413" s="64"/>
      <c r="Q413" s="64"/>
      <c r="R413" s="64"/>
      <c r="S413" s="64"/>
      <c r="T413" s="64"/>
      <c r="U413" s="64"/>
      <c r="V413" s="64"/>
      <c r="W413" s="64"/>
      <c r="X413" s="64"/>
      <c r="Y413" s="137"/>
      <c r="Z413" s="137"/>
      <c r="AA413" s="137"/>
      <c r="AB413" s="137"/>
      <c r="AC413" s="137"/>
    </row>
    <row r="414" spans="3:29" ht="15.75" customHeight="1">
      <c r="C414" s="63"/>
      <c r="D414" s="63"/>
      <c r="E414" s="63"/>
      <c r="F414" s="63"/>
      <c r="G414" s="63"/>
      <c r="H414" s="63"/>
      <c r="I414" s="63"/>
      <c r="J414" s="63"/>
      <c r="K414" s="63"/>
      <c r="L414" s="63"/>
      <c r="M414" s="168"/>
      <c r="N414" s="63"/>
      <c r="O414" s="64"/>
      <c r="P414" s="64"/>
      <c r="Q414" s="64"/>
      <c r="R414" s="64"/>
      <c r="S414" s="64"/>
      <c r="T414" s="64"/>
      <c r="U414" s="64"/>
      <c r="V414" s="64"/>
      <c r="W414" s="64"/>
      <c r="X414" s="64"/>
      <c r="Y414" s="137"/>
      <c r="Z414" s="137"/>
      <c r="AA414" s="137"/>
      <c r="AB414" s="137"/>
      <c r="AC414" s="137"/>
    </row>
    <row r="415" spans="3:29" ht="15.75" customHeight="1">
      <c r="C415" s="63"/>
      <c r="D415" s="63"/>
      <c r="E415" s="63"/>
      <c r="F415" s="63"/>
      <c r="G415" s="63"/>
      <c r="H415" s="63"/>
      <c r="I415" s="63"/>
      <c r="J415" s="63"/>
      <c r="K415" s="63"/>
      <c r="L415" s="63"/>
      <c r="M415" s="168"/>
      <c r="N415" s="63"/>
      <c r="O415" s="64"/>
      <c r="P415" s="64"/>
      <c r="Q415" s="64"/>
      <c r="R415" s="64"/>
      <c r="S415" s="64"/>
      <c r="T415" s="64"/>
      <c r="U415" s="64"/>
      <c r="V415" s="64"/>
      <c r="W415" s="64"/>
      <c r="X415" s="64"/>
      <c r="Y415" s="137"/>
      <c r="Z415" s="137"/>
      <c r="AA415" s="137"/>
      <c r="AB415" s="137"/>
      <c r="AC415" s="137"/>
    </row>
    <row r="416" spans="3:29" ht="15.75" customHeight="1">
      <c r="C416" s="63"/>
      <c r="D416" s="63"/>
      <c r="E416" s="63"/>
      <c r="F416" s="63"/>
      <c r="G416" s="63"/>
      <c r="H416" s="63"/>
      <c r="I416" s="63"/>
      <c r="J416" s="63"/>
      <c r="K416" s="63"/>
      <c r="L416" s="63"/>
      <c r="M416" s="168"/>
      <c r="N416" s="63"/>
      <c r="O416" s="64"/>
      <c r="P416" s="64"/>
      <c r="Q416" s="64"/>
      <c r="R416" s="64"/>
      <c r="S416" s="64"/>
      <c r="T416" s="64"/>
      <c r="U416" s="64"/>
      <c r="V416" s="64"/>
      <c r="W416" s="64"/>
      <c r="X416" s="64"/>
      <c r="Y416" s="137"/>
      <c r="Z416" s="137"/>
      <c r="AA416" s="137"/>
      <c r="AB416" s="137"/>
      <c r="AC416" s="137"/>
    </row>
    <row r="417" spans="3:29" ht="15.75" customHeight="1">
      <c r="C417" s="63"/>
      <c r="D417" s="63"/>
      <c r="E417" s="63"/>
      <c r="F417" s="63"/>
      <c r="G417" s="63"/>
      <c r="H417" s="63"/>
      <c r="I417" s="63"/>
      <c r="J417" s="63"/>
      <c r="K417" s="63"/>
      <c r="L417" s="63"/>
      <c r="M417" s="168"/>
      <c r="N417" s="63"/>
      <c r="O417" s="64"/>
      <c r="P417" s="64"/>
      <c r="Q417" s="64"/>
      <c r="R417" s="64"/>
      <c r="S417" s="64"/>
      <c r="T417" s="64"/>
      <c r="U417" s="64"/>
      <c r="V417" s="64"/>
      <c r="W417" s="64"/>
      <c r="X417" s="64"/>
      <c r="Y417" s="137"/>
      <c r="Z417" s="137"/>
      <c r="AA417" s="137"/>
      <c r="AB417" s="137"/>
      <c r="AC417" s="137"/>
    </row>
    <row r="418" spans="3:29" ht="15.75" customHeight="1">
      <c r="C418" s="63"/>
      <c r="D418" s="63"/>
      <c r="E418" s="63"/>
      <c r="F418" s="63"/>
      <c r="G418" s="63"/>
      <c r="H418" s="63"/>
      <c r="I418" s="63"/>
      <c r="J418" s="63"/>
      <c r="K418" s="63"/>
      <c r="L418" s="63"/>
      <c r="M418" s="168"/>
      <c r="N418" s="63"/>
      <c r="O418" s="64"/>
      <c r="P418" s="64"/>
      <c r="Q418" s="64"/>
      <c r="R418" s="64"/>
      <c r="S418" s="64"/>
      <c r="T418" s="64"/>
      <c r="U418" s="64"/>
      <c r="V418" s="64"/>
      <c r="W418" s="64"/>
      <c r="X418" s="64"/>
      <c r="Y418" s="137"/>
      <c r="Z418" s="137"/>
      <c r="AA418" s="137"/>
      <c r="AB418" s="137"/>
      <c r="AC418" s="137"/>
    </row>
    <row r="419" spans="3:29" ht="15.75" customHeight="1">
      <c r="C419" s="63"/>
      <c r="D419" s="63"/>
      <c r="E419" s="63"/>
      <c r="F419" s="63"/>
      <c r="G419" s="63"/>
      <c r="H419" s="63"/>
      <c r="I419" s="63"/>
      <c r="J419" s="63"/>
      <c r="K419" s="63"/>
      <c r="L419" s="63"/>
      <c r="M419" s="168"/>
      <c r="N419" s="63"/>
      <c r="O419" s="64"/>
      <c r="P419" s="64"/>
      <c r="Q419" s="64"/>
      <c r="R419" s="64"/>
      <c r="S419" s="64"/>
      <c r="T419" s="64"/>
      <c r="U419" s="64"/>
      <c r="V419" s="64"/>
      <c r="W419" s="64"/>
      <c r="X419" s="64"/>
      <c r="Y419" s="137"/>
      <c r="Z419" s="137"/>
      <c r="AA419" s="137"/>
      <c r="AB419" s="137"/>
      <c r="AC419" s="137"/>
    </row>
    <row r="420" spans="3:29" ht="15.75" customHeight="1">
      <c r="C420" s="63"/>
      <c r="D420" s="63"/>
      <c r="E420" s="63"/>
      <c r="F420" s="63"/>
      <c r="G420" s="63"/>
      <c r="H420" s="63"/>
      <c r="I420" s="63"/>
      <c r="J420" s="63"/>
      <c r="K420" s="63"/>
      <c r="L420" s="63"/>
      <c r="M420" s="168"/>
      <c r="N420" s="63"/>
      <c r="O420" s="64"/>
      <c r="P420" s="64"/>
      <c r="Q420" s="64"/>
      <c r="R420" s="64"/>
      <c r="S420" s="64"/>
      <c r="T420" s="64"/>
      <c r="U420" s="64"/>
      <c r="V420" s="64"/>
      <c r="W420" s="64"/>
      <c r="X420" s="64"/>
      <c r="Y420" s="137"/>
      <c r="Z420" s="137"/>
      <c r="AA420" s="137"/>
      <c r="AB420" s="137"/>
      <c r="AC420" s="137"/>
    </row>
    <row r="421" spans="3:29" ht="15.75" customHeight="1">
      <c r="C421" s="63"/>
      <c r="D421" s="63"/>
      <c r="E421" s="63"/>
      <c r="F421" s="63"/>
      <c r="G421" s="63"/>
      <c r="H421" s="63"/>
      <c r="I421" s="63"/>
      <c r="J421" s="63"/>
      <c r="K421" s="63"/>
      <c r="L421" s="63"/>
      <c r="M421" s="168"/>
      <c r="N421" s="63"/>
      <c r="O421" s="64"/>
      <c r="P421" s="64"/>
      <c r="Q421" s="64"/>
      <c r="R421" s="64"/>
      <c r="S421" s="64"/>
      <c r="T421" s="64"/>
      <c r="U421" s="64"/>
      <c r="V421" s="64"/>
      <c r="W421" s="64"/>
      <c r="X421" s="64"/>
      <c r="Y421" s="137"/>
      <c r="Z421" s="137"/>
      <c r="AA421" s="137"/>
      <c r="AB421" s="137"/>
      <c r="AC421" s="137"/>
    </row>
    <row r="422" spans="3:29" ht="15.75" customHeight="1">
      <c r="C422" s="63"/>
      <c r="D422" s="63"/>
      <c r="E422" s="63"/>
      <c r="F422" s="63"/>
      <c r="G422" s="63"/>
      <c r="H422" s="63"/>
      <c r="I422" s="63"/>
      <c r="J422" s="63"/>
      <c r="K422" s="63"/>
      <c r="L422" s="63"/>
      <c r="M422" s="168"/>
      <c r="N422" s="63"/>
      <c r="O422" s="64"/>
      <c r="P422" s="64"/>
      <c r="Q422" s="64"/>
      <c r="R422" s="64"/>
      <c r="S422" s="64"/>
      <c r="T422" s="64"/>
      <c r="U422" s="64"/>
      <c r="V422" s="64"/>
      <c r="W422" s="64"/>
      <c r="X422" s="64"/>
      <c r="Y422" s="137"/>
      <c r="Z422" s="137"/>
      <c r="AA422" s="137"/>
      <c r="AB422" s="137"/>
      <c r="AC422" s="137"/>
    </row>
    <row r="423" spans="3:29" ht="15.75" customHeight="1">
      <c r="C423" s="63"/>
      <c r="D423" s="63"/>
      <c r="E423" s="63"/>
      <c r="F423" s="63"/>
      <c r="G423" s="63"/>
      <c r="H423" s="63"/>
      <c r="I423" s="63"/>
      <c r="J423" s="63"/>
      <c r="K423" s="63"/>
      <c r="L423" s="63"/>
      <c r="M423" s="168"/>
      <c r="N423" s="63"/>
      <c r="O423" s="64"/>
      <c r="P423" s="64"/>
      <c r="Q423" s="64"/>
      <c r="R423" s="64"/>
      <c r="S423" s="64"/>
      <c r="T423" s="64"/>
      <c r="U423" s="64"/>
      <c r="V423" s="64"/>
      <c r="W423" s="64"/>
      <c r="X423" s="64"/>
      <c r="Y423" s="137"/>
      <c r="Z423" s="137"/>
      <c r="AA423" s="137"/>
      <c r="AB423" s="137"/>
      <c r="AC423" s="137"/>
    </row>
    <row r="424" spans="3:29" ht="15.75" customHeight="1">
      <c r="C424" s="63"/>
      <c r="D424" s="63"/>
      <c r="E424" s="63"/>
      <c r="F424" s="63"/>
      <c r="G424" s="63"/>
      <c r="H424" s="63"/>
      <c r="I424" s="63"/>
      <c r="J424" s="63"/>
      <c r="K424" s="63"/>
      <c r="L424" s="63"/>
      <c r="M424" s="168"/>
      <c r="N424" s="63"/>
      <c r="O424" s="64"/>
      <c r="P424" s="64"/>
      <c r="Q424" s="64"/>
      <c r="R424" s="64"/>
      <c r="S424" s="64"/>
      <c r="T424" s="64"/>
      <c r="U424" s="64"/>
      <c r="V424" s="64"/>
      <c r="W424" s="64"/>
      <c r="X424" s="64"/>
      <c r="Y424" s="137"/>
      <c r="Z424" s="137"/>
      <c r="AA424" s="137"/>
      <c r="AB424" s="137"/>
      <c r="AC424" s="137"/>
    </row>
    <row r="425" spans="3:29" ht="15.75" customHeight="1">
      <c r="C425" s="63"/>
      <c r="D425" s="63"/>
      <c r="E425" s="63"/>
      <c r="F425" s="63"/>
      <c r="G425" s="63"/>
      <c r="H425" s="63"/>
      <c r="I425" s="63"/>
      <c r="J425" s="63"/>
      <c r="K425" s="63"/>
      <c r="L425" s="63"/>
      <c r="M425" s="168"/>
      <c r="N425" s="63"/>
      <c r="O425" s="64"/>
      <c r="P425" s="64"/>
      <c r="Q425" s="64"/>
      <c r="R425" s="64"/>
      <c r="S425" s="64"/>
      <c r="T425" s="64"/>
      <c r="U425" s="64"/>
      <c r="V425" s="64"/>
      <c r="W425" s="64"/>
      <c r="X425" s="64"/>
      <c r="Y425" s="137"/>
      <c r="Z425" s="137"/>
      <c r="AA425" s="137"/>
      <c r="AB425" s="137"/>
      <c r="AC425" s="137"/>
    </row>
    <row r="426" spans="3:29" ht="15.75" customHeight="1">
      <c r="C426" s="63"/>
      <c r="D426" s="63"/>
      <c r="E426" s="63"/>
      <c r="F426" s="63"/>
      <c r="G426" s="63"/>
      <c r="H426" s="63"/>
      <c r="I426" s="63"/>
      <c r="J426" s="63"/>
      <c r="K426" s="63"/>
      <c r="L426" s="63"/>
      <c r="M426" s="168"/>
      <c r="N426" s="63"/>
      <c r="O426" s="64"/>
      <c r="P426" s="64"/>
      <c r="Q426" s="64"/>
      <c r="R426" s="64"/>
      <c r="S426" s="64"/>
      <c r="T426" s="64"/>
      <c r="U426" s="64"/>
      <c r="V426" s="64"/>
      <c r="W426" s="64"/>
      <c r="X426" s="64"/>
      <c r="Y426" s="137"/>
      <c r="Z426" s="137"/>
      <c r="AA426" s="137"/>
      <c r="AB426" s="137"/>
      <c r="AC426" s="137"/>
    </row>
    <row r="427" spans="3:29" ht="15.75" customHeight="1">
      <c r="C427" s="63"/>
      <c r="D427" s="63"/>
      <c r="E427" s="63"/>
      <c r="F427" s="63"/>
      <c r="G427" s="63"/>
      <c r="H427" s="63"/>
      <c r="I427" s="63"/>
      <c r="J427" s="63"/>
      <c r="K427" s="63"/>
      <c r="L427" s="63"/>
      <c r="M427" s="168"/>
      <c r="N427" s="63"/>
      <c r="O427" s="64"/>
      <c r="P427" s="64"/>
      <c r="Q427" s="64"/>
      <c r="R427" s="64"/>
      <c r="S427" s="64"/>
      <c r="T427" s="64"/>
      <c r="U427" s="64"/>
      <c r="V427" s="64"/>
      <c r="W427" s="64"/>
      <c r="X427" s="64"/>
      <c r="Y427" s="137"/>
      <c r="Z427" s="137"/>
      <c r="AA427" s="137"/>
      <c r="AB427" s="137"/>
      <c r="AC427" s="137"/>
    </row>
    <row r="428" spans="3:29" ht="15.75" customHeight="1">
      <c r="C428" s="63"/>
      <c r="D428" s="63"/>
      <c r="E428" s="63"/>
      <c r="F428" s="63"/>
      <c r="G428" s="63"/>
      <c r="H428" s="63"/>
      <c r="I428" s="63"/>
      <c r="J428" s="63"/>
      <c r="K428" s="63"/>
      <c r="L428" s="63"/>
      <c r="M428" s="168"/>
      <c r="N428" s="63"/>
      <c r="O428" s="64"/>
      <c r="P428" s="64"/>
      <c r="Q428" s="64"/>
      <c r="R428" s="64"/>
      <c r="S428" s="64"/>
      <c r="T428" s="64"/>
      <c r="U428" s="64"/>
      <c r="V428" s="64"/>
      <c r="W428" s="64"/>
      <c r="X428" s="64"/>
      <c r="Y428" s="137"/>
      <c r="Z428" s="137"/>
      <c r="AA428" s="137"/>
      <c r="AB428" s="137"/>
      <c r="AC428" s="137"/>
    </row>
    <row r="429" spans="3:29" ht="15.75" customHeight="1">
      <c r="C429" s="63"/>
      <c r="D429" s="63"/>
      <c r="E429" s="63"/>
      <c r="F429" s="63"/>
      <c r="G429" s="63"/>
      <c r="H429" s="63"/>
      <c r="I429" s="63"/>
      <c r="J429" s="63"/>
      <c r="K429" s="63"/>
      <c r="L429" s="63"/>
      <c r="M429" s="168"/>
      <c r="N429" s="63"/>
      <c r="O429" s="64"/>
      <c r="P429" s="64"/>
      <c r="Q429" s="64"/>
      <c r="R429" s="64"/>
      <c r="S429" s="64"/>
      <c r="T429" s="64"/>
      <c r="U429" s="64"/>
      <c r="V429" s="64"/>
      <c r="W429" s="64"/>
      <c r="X429" s="64"/>
      <c r="Y429" s="137"/>
      <c r="Z429" s="137"/>
      <c r="AA429" s="137"/>
      <c r="AB429" s="137"/>
      <c r="AC429" s="137"/>
    </row>
    <row r="430" spans="3:29" ht="15.75" customHeight="1">
      <c r="C430" s="63"/>
      <c r="D430" s="63"/>
      <c r="E430" s="63"/>
      <c r="F430" s="63"/>
      <c r="G430" s="63"/>
      <c r="H430" s="63"/>
      <c r="I430" s="63"/>
      <c r="J430" s="63"/>
      <c r="K430" s="63"/>
      <c r="L430" s="63"/>
      <c r="M430" s="168"/>
      <c r="N430" s="63"/>
      <c r="O430" s="64"/>
      <c r="P430" s="64"/>
      <c r="Q430" s="64"/>
      <c r="R430" s="64"/>
      <c r="S430" s="64"/>
      <c r="T430" s="64"/>
      <c r="U430" s="64"/>
      <c r="V430" s="64"/>
      <c r="W430" s="64"/>
      <c r="X430" s="64"/>
      <c r="Y430" s="137"/>
      <c r="Z430" s="137"/>
      <c r="AA430" s="137"/>
      <c r="AB430" s="137"/>
      <c r="AC430" s="137"/>
    </row>
    <row r="431" spans="3:29" ht="15.75" customHeight="1">
      <c r="C431" s="63"/>
      <c r="D431" s="63"/>
      <c r="E431" s="63"/>
      <c r="F431" s="63"/>
      <c r="G431" s="63"/>
      <c r="H431" s="63"/>
      <c r="I431" s="63"/>
      <c r="J431" s="63"/>
      <c r="K431" s="63"/>
      <c r="L431" s="63"/>
      <c r="M431" s="168"/>
      <c r="N431" s="63"/>
      <c r="O431" s="64"/>
      <c r="P431" s="64"/>
      <c r="Q431" s="64"/>
      <c r="R431" s="64"/>
      <c r="S431" s="64"/>
      <c r="T431" s="64"/>
      <c r="U431" s="64"/>
      <c r="V431" s="64"/>
      <c r="W431" s="64"/>
      <c r="X431" s="64"/>
      <c r="Y431" s="137"/>
      <c r="Z431" s="137"/>
      <c r="AA431" s="137"/>
      <c r="AB431" s="137"/>
      <c r="AC431" s="137"/>
    </row>
    <row r="432" spans="3:29" ht="15.75" customHeight="1">
      <c r="C432" s="63"/>
      <c r="D432" s="63"/>
      <c r="E432" s="63"/>
      <c r="F432" s="63"/>
      <c r="G432" s="63"/>
      <c r="H432" s="63"/>
      <c r="I432" s="63"/>
      <c r="J432" s="63"/>
      <c r="K432" s="63"/>
      <c r="L432" s="63"/>
      <c r="M432" s="168"/>
      <c r="N432" s="63"/>
      <c r="O432" s="64"/>
      <c r="P432" s="64"/>
      <c r="Q432" s="64"/>
      <c r="R432" s="64"/>
      <c r="S432" s="64"/>
      <c r="T432" s="64"/>
      <c r="U432" s="64"/>
      <c r="V432" s="64"/>
      <c r="W432" s="64"/>
      <c r="X432" s="64"/>
      <c r="Y432" s="137"/>
      <c r="Z432" s="137"/>
      <c r="AA432" s="137"/>
      <c r="AB432" s="137"/>
      <c r="AC432" s="137"/>
    </row>
    <row r="433" spans="3:29" ht="15.75" customHeight="1">
      <c r="C433" s="63"/>
      <c r="D433" s="63"/>
      <c r="E433" s="63"/>
      <c r="F433" s="63"/>
      <c r="G433" s="63"/>
      <c r="H433" s="63"/>
      <c r="I433" s="63"/>
      <c r="J433" s="63"/>
      <c r="K433" s="63"/>
      <c r="L433" s="63"/>
      <c r="M433" s="168"/>
      <c r="N433" s="63"/>
      <c r="O433" s="64"/>
      <c r="P433" s="64"/>
      <c r="Q433" s="64"/>
      <c r="R433" s="64"/>
      <c r="S433" s="64"/>
      <c r="T433" s="64"/>
      <c r="U433" s="64"/>
      <c r="V433" s="64"/>
      <c r="W433" s="64"/>
      <c r="X433" s="64"/>
      <c r="Y433" s="137"/>
      <c r="Z433" s="137"/>
      <c r="AA433" s="137"/>
      <c r="AB433" s="137"/>
      <c r="AC433" s="137"/>
    </row>
    <row r="434" spans="3:29" ht="15.75" customHeight="1">
      <c r="C434" s="63"/>
      <c r="D434" s="63"/>
      <c r="E434" s="63"/>
      <c r="F434" s="63"/>
      <c r="G434" s="63"/>
      <c r="H434" s="63"/>
      <c r="I434" s="63"/>
      <c r="J434" s="63"/>
      <c r="K434" s="63"/>
      <c r="L434" s="63"/>
      <c r="M434" s="168"/>
      <c r="N434" s="63"/>
      <c r="O434" s="64"/>
      <c r="P434" s="64"/>
      <c r="Q434" s="64"/>
      <c r="R434" s="64"/>
      <c r="S434" s="64"/>
      <c r="T434" s="64"/>
      <c r="U434" s="64"/>
      <c r="V434" s="64"/>
      <c r="W434" s="64"/>
      <c r="X434" s="64"/>
      <c r="Y434" s="137"/>
      <c r="Z434" s="137"/>
      <c r="AA434" s="137"/>
      <c r="AB434" s="137"/>
      <c r="AC434" s="137"/>
    </row>
    <row r="435" spans="3:29" ht="15.75" customHeight="1">
      <c r="C435" s="63"/>
      <c r="D435" s="63"/>
      <c r="E435" s="63"/>
      <c r="F435" s="63"/>
      <c r="G435" s="63"/>
      <c r="H435" s="63"/>
      <c r="I435" s="63"/>
      <c r="J435" s="63"/>
      <c r="K435" s="63"/>
      <c r="L435" s="63"/>
      <c r="M435" s="168"/>
      <c r="N435" s="63"/>
      <c r="O435" s="64"/>
      <c r="P435" s="64"/>
      <c r="Q435" s="64"/>
      <c r="R435" s="64"/>
      <c r="S435" s="64"/>
      <c r="T435" s="64"/>
      <c r="U435" s="64"/>
      <c r="V435" s="64"/>
      <c r="W435" s="64"/>
      <c r="X435" s="64"/>
      <c r="Y435" s="137"/>
      <c r="Z435" s="137"/>
      <c r="AA435" s="137"/>
      <c r="AB435" s="137"/>
      <c r="AC435" s="137"/>
    </row>
    <row r="436" spans="3:29" ht="15.75" customHeight="1">
      <c r="C436" s="63"/>
      <c r="D436" s="63"/>
      <c r="E436" s="63"/>
      <c r="F436" s="63"/>
      <c r="G436" s="63"/>
      <c r="H436" s="63"/>
      <c r="I436" s="63"/>
      <c r="J436" s="63"/>
      <c r="K436" s="63"/>
      <c r="L436" s="63"/>
      <c r="M436" s="168"/>
      <c r="N436" s="63"/>
      <c r="O436" s="64"/>
      <c r="P436" s="64"/>
      <c r="Q436" s="64"/>
      <c r="R436" s="64"/>
      <c r="S436" s="64"/>
      <c r="T436" s="64"/>
      <c r="U436" s="64"/>
      <c r="V436" s="64"/>
      <c r="W436" s="64"/>
      <c r="X436" s="64"/>
      <c r="Y436" s="137"/>
      <c r="Z436" s="137"/>
      <c r="AA436" s="137"/>
      <c r="AB436" s="137"/>
      <c r="AC436" s="137"/>
    </row>
    <row r="437" spans="3:29" ht="15.75" customHeight="1">
      <c r="C437" s="63"/>
      <c r="D437" s="63"/>
      <c r="E437" s="63"/>
      <c r="F437" s="63"/>
      <c r="G437" s="63"/>
      <c r="H437" s="63"/>
      <c r="I437" s="63"/>
      <c r="J437" s="63"/>
      <c r="K437" s="63"/>
      <c r="L437" s="63"/>
      <c r="M437" s="168"/>
      <c r="N437" s="63"/>
      <c r="O437" s="64"/>
      <c r="P437" s="64"/>
      <c r="Q437" s="64"/>
      <c r="R437" s="64"/>
      <c r="S437" s="64"/>
      <c r="T437" s="64"/>
      <c r="U437" s="64"/>
      <c r="V437" s="64"/>
      <c r="W437" s="64"/>
      <c r="X437" s="64"/>
      <c r="Y437" s="137"/>
      <c r="Z437" s="137"/>
      <c r="AA437" s="137"/>
      <c r="AB437" s="137"/>
      <c r="AC437" s="137"/>
    </row>
    <row r="438" spans="3:29" ht="15.75" customHeight="1">
      <c r="C438" s="63"/>
      <c r="D438" s="63"/>
      <c r="E438" s="63"/>
      <c r="F438" s="63"/>
      <c r="G438" s="63"/>
      <c r="H438" s="63"/>
      <c r="I438" s="63"/>
      <c r="J438" s="63"/>
      <c r="K438" s="63"/>
      <c r="L438" s="63"/>
      <c r="M438" s="168"/>
      <c r="N438" s="63"/>
      <c r="O438" s="64"/>
      <c r="P438" s="64"/>
      <c r="Q438" s="64"/>
      <c r="R438" s="64"/>
      <c r="S438" s="64"/>
      <c r="T438" s="64"/>
      <c r="U438" s="64"/>
      <c r="V438" s="64"/>
      <c r="W438" s="64"/>
      <c r="X438" s="64"/>
      <c r="Y438" s="137"/>
      <c r="Z438" s="137"/>
      <c r="AA438" s="137"/>
      <c r="AB438" s="137"/>
      <c r="AC438" s="137"/>
    </row>
    <row r="439" spans="3:29" ht="15.75" customHeight="1">
      <c r="C439" s="63"/>
      <c r="D439" s="63"/>
      <c r="E439" s="63"/>
      <c r="F439" s="63"/>
      <c r="G439" s="63"/>
      <c r="H439" s="63"/>
      <c r="I439" s="63"/>
      <c r="J439" s="63"/>
      <c r="K439" s="63"/>
      <c r="L439" s="63"/>
      <c r="M439" s="168"/>
      <c r="N439" s="63"/>
      <c r="O439" s="64"/>
      <c r="P439" s="64"/>
      <c r="Q439" s="64"/>
      <c r="R439" s="64"/>
      <c r="S439" s="64"/>
      <c r="T439" s="64"/>
      <c r="U439" s="64"/>
      <c r="V439" s="64"/>
      <c r="W439" s="64"/>
      <c r="X439" s="64"/>
      <c r="Y439" s="137"/>
      <c r="Z439" s="137"/>
      <c r="AA439" s="137"/>
      <c r="AB439" s="137"/>
      <c r="AC439" s="137"/>
    </row>
    <row r="440" spans="3:29" ht="15.75" customHeight="1">
      <c r="C440" s="63"/>
      <c r="D440" s="63"/>
      <c r="E440" s="63"/>
      <c r="F440" s="63"/>
      <c r="G440" s="63"/>
      <c r="H440" s="63"/>
      <c r="I440" s="63"/>
      <c r="J440" s="63"/>
      <c r="K440" s="63"/>
      <c r="L440" s="63"/>
      <c r="M440" s="168"/>
      <c r="N440" s="63"/>
      <c r="O440" s="64"/>
      <c r="P440" s="64"/>
      <c r="Q440" s="64"/>
      <c r="R440" s="64"/>
      <c r="S440" s="64"/>
      <c r="T440" s="64"/>
      <c r="U440" s="64"/>
      <c r="V440" s="64"/>
      <c r="W440" s="64"/>
      <c r="X440" s="64"/>
      <c r="Y440" s="137"/>
      <c r="Z440" s="137"/>
      <c r="AA440" s="137"/>
      <c r="AB440" s="137"/>
      <c r="AC440" s="137"/>
    </row>
    <row r="441" spans="3:29" ht="15.75" customHeight="1">
      <c r="C441" s="63"/>
      <c r="D441" s="63"/>
      <c r="E441" s="63"/>
      <c r="F441" s="63"/>
      <c r="G441" s="63"/>
      <c r="H441" s="63"/>
      <c r="I441" s="63"/>
      <c r="J441" s="63"/>
      <c r="K441" s="63"/>
      <c r="L441" s="63"/>
      <c r="M441" s="168"/>
      <c r="N441" s="63"/>
      <c r="O441" s="64"/>
      <c r="P441" s="64"/>
      <c r="Q441" s="64"/>
      <c r="R441" s="64"/>
      <c r="S441" s="64"/>
      <c r="T441" s="64"/>
      <c r="U441" s="64"/>
      <c r="V441" s="64"/>
      <c r="W441" s="64"/>
      <c r="X441" s="64"/>
      <c r="Y441" s="137"/>
      <c r="Z441" s="137"/>
      <c r="AA441" s="137"/>
      <c r="AB441" s="137"/>
      <c r="AC441" s="137"/>
    </row>
    <row r="442" spans="3:29" ht="15.75" customHeight="1">
      <c r="C442" s="63"/>
      <c r="D442" s="63"/>
      <c r="E442" s="63"/>
      <c r="F442" s="63"/>
      <c r="G442" s="63"/>
      <c r="H442" s="63"/>
      <c r="I442" s="63"/>
      <c r="J442" s="63"/>
      <c r="K442" s="63"/>
      <c r="L442" s="63"/>
      <c r="M442" s="168"/>
      <c r="N442" s="63"/>
      <c r="O442" s="64"/>
      <c r="P442" s="64"/>
      <c r="Q442" s="64"/>
      <c r="R442" s="64"/>
      <c r="S442" s="64"/>
      <c r="T442" s="64"/>
      <c r="U442" s="64"/>
      <c r="V442" s="64"/>
      <c r="W442" s="64"/>
      <c r="X442" s="64"/>
      <c r="Y442" s="137"/>
      <c r="Z442" s="137"/>
      <c r="AA442" s="137"/>
      <c r="AB442" s="137"/>
      <c r="AC442" s="137"/>
    </row>
    <row r="443" spans="3:29" ht="15.75" customHeight="1">
      <c r="C443" s="63"/>
      <c r="D443" s="63"/>
      <c r="E443" s="63"/>
      <c r="F443" s="63"/>
      <c r="G443" s="63"/>
      <c r="H443" s="63"/>
      <c r="I443" s="63"/>
      <c r="J443" s="63"/>
      <c r="K443" s="63"/>
      <c r="L443" s="63"/>
      <c r="M443" s="168"/>
      <c r="N443" s="63"/>
      <c r="O443" s="64"/>
      <c r="P443" s="64"/>
      <c r="Q443" s="64"/>
      <c r="R443" s="64"/>
      <c r="S443" s="64"/>
      <c r="T443" s="64"/>
      <c r="U443" s="64"/>
      <c r="V443" s="64"/>
      <c r="W443" s="64"/>
      <c r="X443" s="64"/>
      <c r="Y443" s="137"/>
      <c r="Z443" s="137"/>
      <c r="AA443" s="137"/>
      <c r="AB443" s="137"/>
      <c r="AC443" s="137"/>
    </row>
    <row r="444" spans="3:29" ht="15.75" customHeight="1">
      <c r="C444" s="63"/>
      <c r="D444" s="63"/>
      <c r="E444" s="63"/>
      <c r="F444" s="63"/>
      <c r="G444" s="63"/>
      <c r="H444" s="63"/>
      <c r="I444" s="63"/>
      <c r="J444" s="63"/>
      <c r="K444" s="63"/>
      <c r="L444" s="63"/>
      <c r="M444" s="168"/>
      <c r="N444" s="63"/>
      <c r="O444" s="64"/>
      <c r="P444" s="64"/>
      <c r="Q444" s="64"/>
      <c r="R444" s="64"/>
      <c r="S444" s="64"/>
      <c r="T444" s="64"/>
      <c r="U444" s="64"/>
      <c r="V444" s="64"/>
      <c r="W444" s="64"/>
      <c r="X444" s="64"/>
      <c r="Y444" s="137"/>
      <c r="Z444" s="137"/>
      <c r="AA444" s="137"/>
      <c r="AB444" s="137"/>
      <c r="AC444" s="137"/>
    </row>
    <row r="445" spans="3:29" ht="15.75" customHeight="1">
      <c r="C445" s="63"/>
      <c r="D445" s="63"/>
      <c r="E445" s="63"/>
      <c r="F445" s="63"/>
      <c r="G445" s="63"/>
      <c r="H445" s="63"/>
      <c r="I445" s="63"/>
      <c r="J445" s="63"/>
      <c r="K445" s="63"/>
      <c r="L445" s="63"/>
      <c r="M445" s="168"/>
      <c r="N445" s="63"/>
      <c r="O445" s="64"/>
      <c r="P445" s="64"/>
      <c r="Q445" s="64"/>
      <c r="R445" s="64"/>
      <c r="S445" s="64"/>
      <c r="T445" s="64"/>
      <c r="U445" s="64"/>
      <c r="V445" s="64"/>
      <c r="W445" s="64"/>
      <c r="X445" s="64"/>
      <c r="Y445" s="137"/>
      <c r="Z445" s="137"/>
      <c r="AA445" s="137"/>
      <c r="AB445" s="137"/>
      <c r="AC445" s="137"/>
    </row>
    <row r="446" spans="3:29" ht="15.75" customHeight="1">
      <c r="C446" s="63"/>
      <c r="D446" s="63"/>
      <c r="E446" s="63"/>
      <c r="F446" s="63"/>
      <c r="G446" s="63"/>
      <c r="H446" s="63"/>
      <c r="I446" s="63"/>
      <c r="J446" s="63"/>
      <c r="K446" s="63"/>
      <c r="L446" s="63"/>
      <c r="M446" s="168"/>
      <c r="N446" s="63"/>
      <c r="O446" s="64"/>
      <c r="P446" s="64"/>
      <c r="Q446" s="64"/>
      <c r="R446" s="64"/>
      <c r="S446" s="64"/>
      <c r="T446" s="64"/>
      <c r="U446" s="64"/>
      <c r="V446" s="64"/>
      <c r="W446" s="64"/>
      <c r="X446" s="64"/>
      <c r="Y446" s="137"/>
      <c r="Z446" s="137"/>
      <c r="AA446" s="137"/>
      <c r="AB446" s="137"/>
      <c r="AC446" s="137"/>
    </row>
    <row r="447" spans="3:29" ht="15.75" customHeight="1">
      <c r="C447" s="63"/>
      <c r="D447" s="63"/>
      <c r="E447" s="63"/>
      <c r="F447" s="63"/>
      <c r="G447" s="63"/>
      <c r="H447" s="63"/>
      <c r="I447" s="63"/>
      <c r="J447" s="63"/>
      <c r="K447" s="63"/>
      <c r="L447" s="63"/>
      <c r="M447" s="168"/>
      <c r="N447" s="63"/>
      <c r="O447" s="64"/>
      <c r="P447" s="64"/>
      <c r="Q447" s="64"/>
      <c r="R447" s="64"/>
      <c r="S447" s="64"/>
      <c r="T447" s="64"/>
      <c r="U447" s="64"/>
      <c r="V447" s="64"/>
      <c r="W447" s="64"/>
      <c r="X447" s="64"/>
      <c r="Y447" s="137"/>
      <c r="Z447" s="137"/>
      <c r="AA447" s="137"/>
      <c r="AB447" s="137"/>
      <c r="AC447" s="137"/>
    </row>
    <row r="448" spans="3:29" ht="15.75" customHeight="1">
      <c r="C448" s="63"/>
      <c r="D448" s="63"/>
      <c r="E448" s="63"/>
      <c r="F448" s="63"/>
      <c r="G448" s="63"/>
      <c r="H448" s="63"/>
      <c r="I448" s="63"/>
      <c r="J448" s="63"/>
      <c r="K448" s="63"/>
      <c r="L448" s="63"/>
      <c r="M448" s="168"/>
      <c r="N448" s="63"/>
      <c r="O448" s="64"/>
      <c r="P448" s="64"/>
      <c r="Q448" s="64"/>
      <c r="R448" s="64"/>
      <c r="S448" s="64"/>
      <c r="T448" s="64"/>
      <c r="U448" s="64"/>
      <c r="V448" s="64"/>
      <c r="W448" s="64"/>
      <c r="X448" s="64"/>
      <c r="Y448" s="137"/>
      <c r="Z448" s="137"/>
      <c r="AA448" s="137"/>
      <c r="AB448" s="137"/>
      <c r="AC448" s="137"/>
    </row>
    <row r="449" spans="3:29" ht="15.75" customHeight="1">
      <c r="C449" s="63"/>
      <c r="D449" s="63"/>
      <c r="E449" s="63"/>
      <c r="F449" s="63"/>
      <c r="G449" s="63"/>
      <c r="H449" s="63"/>
      <c r="I449" s="63"/>
      <c r="J449" s="63"/>
      <c r="K449" s="63"/>
      <c r="L449" s="63"/>
      <c r="M449" s="168"/>
      <c r="N449" s="63"/>
      <c r="O449" s="64"/>
      <c r="P449" s="64"/>
      <c r="Q449" s="64"/>
      <c r="R449" s="64"/>
      <c r="S449" s="64"/>
      <c r="T449" s="64"/>
      <c r="U449" s="64"/>
      <c r="V449" s="64"/>
      <c r="W449" s="64"/>
      <c r="X449" s="64"/>
      <c r="Y449" s="137"/>
      <c r="Z449" s="137"/>
      <c r="AA449" s="137"/>
      <c r="AB449" s="137"/>
      <c r="AC449" s="137"/>
    </row>
    <row r="450" spans="3:29" ht="15.75" customHeight="1">
      <c r="C450" s="63"/>
      <c r="D450" s="63"/>
      <c r="E450" s="63"/>
      <c r="F450" s="63"/>
      <c r="G450" s="63"/>
      <c r="H450" s="63"/>
      <c r="I450" s="63"/>
      <c r="J450" s="63"/>
      <c r="K450" s="63"/>
      <c r="L450" s="63"/>
      <c r="M450" s="168"/>
      <c r="N450" s="63"/>
      <c r="O450" s="64"/>
      <c r="P450" s="64"/>
      <c r="Q450" s="64"/>
      <c r="R450" s="64"/>
      <c r="S450" s="64"/>
      <c r="T450" s="64"/>
      <c r="U450" s="64"/>
      <c r="V450" s="64"/>
      <c r="W450" s="64"/>
      <c r="X450" s="64"/>
      <c r="Y450" s="137"/>
      <c r="Z450" s="137"/>
      <c r="AA450" s="137"/>
      <c r="AB450" s="137"/>
      <c r="AC450" s="137"/>
    </row>
    <row r="451" spans="3:29" ht="15.75" customHeight="1">
      <c r="C451" s="63"/>
      <c r="D451" s="63"/>
      <c r="E451" s="63"/>
      <c r="F451" s="63"/>
      <c r="G451" s="63"/>
      <c r="H451" s="63"/>
      <c r="I451" s="63"/>
      <c r="J451" s="63"/>
      <c r="K451" s="63"/>
      <c r="L451" s="63"/>
      <c r="M451" s="168"/>
      <c r="N451" s="63"/>
      <c r="O451" s="64"/>
      <c r="P451" s="64"/>
      <c r="Q451" s="64"/>
      <c r="R451" s="64"/>
      <c r="S451" s="64"/>
      <c r="T451" s="64"/>
      <c r="U451" s="64"/>
      <c r="V451" s="64"/>
      <c r="W451" s="64"/>
      <c r="X451" s="64"/>
      <c r="Y451" s="137"/>
      <c r="Z451" s="137"/>
      <c r="AA451" s="137"/>
      <c r="AB451" s="137"/>
      <c r="AC451" s="137"/>
    </row>
    <row r="452" spans="3:29" ht="15.75" customHeight="1">
      <c r="C452" s="63"/>
      <c r="D452" s="63"/>
      <c r="E452" s="63"/>
      <c r="F452" s="63"/>
      <c r="G452" s="63"/>
      <c r="H452" s="63"/>
      <c r="I452" s="63"/>
      <c r="J452" s="63"/>
      <c r="K452" s="63"/>
      <c r="L452" s="63"/>
      <c r="M452" s="168"/>
      <c r="N452" s="63"/>
      <c r="O452" s="64"/>
      <c r="P452" s="64"/>
      <c r="Q452" s="64"/>
      <c r="R452" s="64"/>
      <c r="S452" s="64"/>
      <c r="T452" s="64"/>
      <c r="U452" s="64"/>
      <c r="V452" s="64"/>
      <c r="W452" s="64"/>
      <c r="X452" s="64"/>
      <c r="Y452" s="137"/>
      <c r="Z452" s="137"/>
      <c r="AA452" s="137"/>
      <c r="AB452" s="137"/>
      <c r="AC452" s="137"/>
    </row>
    <row r="453" spans="3:29" ht="15.75" customHeight="1">
      <c r="C453" s="63"/>
      <c r="D453" s="63"/>
      <c r="E453" s="63"/>
      <c r="F453" s="63"/>
      <c r="G453" s="63"/>
      <c r="H453" s="63"/>
      <c r="I453" s="63"/>
      <c r="J453" s="63"/>
      <c r="K453" s="63"/>
      <c r="L453" s="63"/>
      <c r="M453" s="168"/>
      <c r="N453" s="63"/>
      <c r="O453" s="64"/>
      <c r="P453" s="64"/>
      <c r="Q453" s="64"/>
      <c r="R453" s="64"/>
      <c r="S453" s="64"/>
      <c r="T453" s="64"/>
      <c r="U453" s="64"/>
      <c r="V453" s="64"/>
      <c r="W453" s="64"/>
      <c r="X453" s="64"/>
      <c r="Y453" s="137"/>
      <c r="Z453" s="137"/>
      <c r="AA453" s="137"/>
      <c r="AB453" s="137"/>
      <c r="AC453" s="137"/>
    </row>
    <row r="454" spans="3:29" ht="15.75" customHeight="1">
      <c r="C454" s="63"/>
      <c r="D454" s="63"/>
      <c r="E454" s="63"/>
      <c r="F454" s="63"/>
      <c r="G454" s="63"/>
      <c r="H454" s="63"/>
      <c r="I454" s="63"/>
      <c r="J454" s="63"/>
      <c r="K454" s="63"/>
      <c r="L454" s="63"/>
      <c r="M454" s="168"/>
      <c r="N454" s="63"/>
      <c r="O454" s="64"/>
      <c r="P454" s="64"/>
      <c r="Q454" s="64"/>
      <c r="R454" s="64"/>
      <c r="S454" s="64"/>
      <c r="T454" s="64"/>
      <c r="U454" s="64"/>
      <c r="V454" s="64"/>
      <c r="W454" s="64"/>
      <c r="X454" s="64"/>
      <c r="Y454" s="137"/>
      <c r="Z454" s="137"/>
      <c r="AA454" s="137"/>
      <c r="AB454" s="137"/>
      <c r="AC454" s="137"/>
    </row>
    <row r="455" spans="3:29" ht="15.75" customHeight="1">
      <c r="C455" s="63"/>
      <c r="D455" s="63"/>
      <c r="E455" s="63"/>
      <c r="F455" s="63"/>
      <c r="G455" s="63"/>
      <c r="H455" s="63"/>
      <c r="I455" s="63"/>
      <c r="J455" s="63"/>
      <c r="K455" s="63"/>
      <c r="L455" s="63"/>
      <c r="M455" s="168"/>
      <c r="N455" s="63"/>
      <c r="O455" s="64"/>
      <c r="P455" s="64"/>
      <c r="Q455" s="64"/>
      <c r="R455" s="64"/>
      <c r="S455" s="64"/>
      <c r="T455" s="64"/>
      <c r="U455" s="64"/>
      <c r="V455" s="64"/>
      <c r="W455" s="64"/>
      <c r="X455" s="64"/>
      <c r="Y455" s="137"/>
      <c r="Z455" s="137"/>
      <c r="AA455" s="137"/>
      <c r="AB455" s="137"/>
      <c r="AC455" s="137"/>
    </row>
    <row r="456" spans="3:29" ht="15.75" customHeight="1">
      <c r="C456" s="63"/>
      <c r="D456" s="63"/>
      <c r="E456" s="63"/>
      <c r="F456" s="63"/>
      <c r="G456" s="63"/>
      <c r="H456" s="63"/>
      <c r="I456" s="63"/>
      <c r="J456" s="63"/>
      <c r="K456" s="63"/>
      <c r="L456" s="63"/>
      <c r="M456" s="168"/>
      <c r="N456" s="63"/>
      <c r="O456" s="64"/>
      <c r="P456" s="64"/>
      <c r="Q456" s="64"/>
      <c r="R456" s="64"/>
      <c r="S456" s="64"/>
      <c r="T456" s="64"/>
      <c r="U456" s="64"/>
      <c r="V456" s="64"/>
      <c r="W456" s="64"/>
      <c r="X456" s="64"/>
      <c r="Y456" s="137"/>
      <c r="Z456" s="137"/>
      <c r="AA456" s="137"/>
      <c r="AB456" s="137"/>
      <c r="AC456" s="137"/>
    </row>
    <row r="457" spans="3:29" ht="15.75" customHeight="1">
      <c r="C457" s="63"/>
      <c r="D457" s="63"/>
      <c r="E457" s="63"/>
      <c r="F457" s="63"/>
      <c r="G457" s="63"/>
      <c r="H457" s="63"/>
      <c r="I457" s="63"/>
      <c r="J457" s="63"/>
      <c r="K457" s="63"/>
      <c r="L457" s="63"/>
      <c r="M457" s="168"/>
      <c r="N457" s="63"/>
      <c r="O457" s="64"/>
      <c r="P457" s="64"/>
      <c r="Q457" s="64"/>
      <c r="R457" s="64"/>
      <c r="S457" s="64"/>
      <c r="T457" s="64"/>
      <c r="U457" s="64"/>
      <c r="V457" s="64"/>
      <c r="W457" s="64"/>
      <c r="X457" s="64"/>
      <c r="Y457" s="137"/>
      <c r="Z457" s="137"/>
      <c r="AA457" s="137"/>
      <c r="AB457" s="137"/>
      <c r="AC457" s="137"/>
    </row>
    <row r="458" spans="3:29" ht="15.75" customHeight="1">
      <c r="C458" s="63"/>
      <c r="D458" s="63"/>
      <c r="E458" s="63"/>
      <c r="F458" s="63"/>
      <c r="G458" s="63"/>
      <c r="H458" s="63"/>
      <c r="I458" s="63"/>
      <c r="J458" s="63"/>
      <c r="K458" s="63"/>
      <c r="L458" s="63"/>
      <c r="M458" s="168"/>
      <c r="N458" s="63"/>
      <c r="O458" s="64"/>
      <c r="P458" s="64"/>
      <c r="Q458" s="64"/>
      <c r="R458" s="64"/>
      <c r="S458" s="64"/>
      <c r="T458" s="64"/>
      <c r="U458" s="64"/>
      <c r="V458" s="64"/>
      <c r="W458" s="64"/>
      <c r="X458" s="64"/>
      <c r="Y458" s="137"/>
      <c r="Z458" s="137"/>
      <c r="AA458" s="137"/>
      <c r="AB458" s="137"/>
      <c r="AC458" s="137"/>
    </row>
    <row r="459" spans="3:29" ht="15.75" customHeight="1">
      <c r="C459" s="63"/>
      <c r="D459" s="63"/>
      <c r="E459" s="63"/>
      <c r="F459" s="63"/>
      <c r="G459" s="63"/>
      <c r="H459" s="63"/>
      <c r="I459" s="63"/>
      <c r="J459" s="63"/>
      <c r="K459" s="63"/>
      <c r="L459" s="63"/>
      <c r="M459" s="168"/>
      <c r="N459" s="63"/>
      <c r="O459" s="64"/>
      <c r="P459" s="64"/>
      <c r="Q459" s="64"/>
      <c r="R459" s="64"/>
      <c r="S459" s="64"/>
      <c r="T459" s="64"/>
      <c r="U459" s="64"/>
      <c r="V459" s="64"/>
      <c r="W459" s="64"/>
      <c r="X459" s="64"/>
      <c r="Y459" s="137"/>
      <c r="Z459" s="137"/>
      <c r="AA459" s="137"/>
      <c r="AB459" s="137"/>
      <c r="AC459" s="137"/>
    </row>
    <row r="460" spans="3:29" ht="15.75" customHeight="1">
      <c r="C460" s="63"/>
      <c r="D460" s="63"/>
      <c r="E460" s="63"/>
      <c r="F460" s="63"/>
      <c r="G460" s="63"/>
      <c r="H460" s="63"/>
      <c r="I460" s="63"/>
      <c r="J460" s="63"/>
      <c r="K460" s="63"/>
      <c r="L460" s="63"/>
      <c r="M460" s="168"/>
      <c r="N460" s="63"/>
      <c r="O460" s="64"/>
      <c r="P460" s="64"/>
      <c r="Q460" s="64"/>
      <c r="R460" s="64"/>
      <c r="S460" s="64"/>
      <c r="T460" s="64"/>
      <c r="U460" s="64"/>
      <c r="V460" s="64"/>
      <c r="W460" s="64"/>
      <c r="X460" s="64"/>
      <c r="Y460" s="137"/>
      <c r="Z460" s="137"/>
      <c r="AA460" s="137"/>
      <c r="AB460" s="137"/>
      <c r="AC460" s="137"/>
    </row>
    <row r="461" spans="3:29" ht="15.75" customHeight="1">
      <c r="C461" s="63"/>
      <c r="D461" s="63"/>
      <c r="E461" s="63"/>
      <c r="F461" s="63"/>
      <c r="G461" s="63"/>
      <c r="H461" s="63"/>
      <c r="I461" s="63"/>
      <c r="J461" s="63"/>
      <c r="K461" s="63"/>
      <c r="L461" s="63"/>
      <c r="M461" s="168"/>
      <c r="N461" s="63"/>
      <c r="O461" s="64"/>
      <c r="P461" s="64"/>
      <c r="Q461" s="64"/>
      <c r="R461" s="64"/>
      <c r="S461" s="64"/>
      <c r="T461" s="64"/>
      <c r="U461" s="64"/>
      <c r="V461" s="64"/>
      <c r="W461" s="64"/>
      <c r="X461" s="64"/>
      <c r="Y461" s="137"/>
      <c r="Z461" s="137"/>
      <c r="AA461" s="137"/>
      <c r="AB461" s="137"/>
      <c r="AC461" s="137"/>
    </row>
    <row r="462" spans="3:29" ht="15.75" customHeight="1">
      <c r="C462" s="63"/>
      <c r="D462" s="63"/>
      <c r="E462" s="63"/>
      <c r="F462" s="63"/>
      <c r="G462" s="63"/>
      <c r="H462" s="63"/>
      <c r="I462" s="63"/>
      <c r="J462" s="63"/>
      <c r="K462" s="63"/>
      <c r="L462" s="63"/>
      <c r="M462" s="168"/>
      <c r="N462" s="63"/>
      <c r="O462" s="64"/>
      <c r="P462" s="64"/>
      <c r="Q462" s="64"/>
      <c r="R462" s="64"/>
      <c r="S462" s="64"/>
      <c r="T462" s="64"/>
      <c r="U462" s="64"/>
      <c r="V462" s="64"/>
      <c r="W462" s="64"/>
      <c r="X462" s="64"/>
      <c r="Y462" s="137"/>
      <c r="Z462" s="137"/>
      <c r="AA462" s="137"/>
      <c r="AB462" s="137"/>
      <c r="AC462" s="137"/>
    </row>
    <row r="463" spans="3:29" ht="15.75" customHeight="1">
      <c r="C463" s="63"/>
      <c r="D463" s="63"/>
      <c r="E463" s="63"/>
      <c r="F463" s="63"/>
      <c r="G463" s="63"/>
      <c r="H463" s="63"/>
      <c r="I463" s="63"/>
      <c r="J463" s="63"/>
      <c r="K463" s="63"/>
      <c r="L463" s="63"/>
      <c r="M463" s="168"/>
      <c r="N463" s="63"/>
      <c r="O463" s="64"/>
      <c r="P463" s="64"/>
      <c r="Q463" s="64"/>
      <c r="R463" s="64"/>
      <c r="S463" s="64"/>
      <c r="T463" s="64"/>
      <c r="U463" s="64"/>
      <c r="V463" s="64"/>
      <c r="W463" s="64"/>
      <c r="X463" s="64"/>
      <c r="Y463" s="137"/>
      <c r="Z463" s="137"/>
      <c r="AA463" s="137"/>
      <c r="AB463" s="137"/>
      <c r="AC463" s="137"/>
    </row>
    <row r="464" spans="3:29" ht="15.75" customHeight="1">
      <c r="C464" s="63"/>
      <c r="D464" s="63"/>
      <c r="E464" s="63"/>
      <c r="F464" s="63"/>
      <c r="G464" s="63"/>
      <c r="H464" s="63"/>
      <c r="I464" s="63"/>
      <c r="J464" s="63"/>
      <c r="K464" s="63"/>
      <c r="L464" s="63"/>
      <c r="M464" s="168"/>
      <c r="N464" s="63"/>
      <c r="O464" s="64"/>
      <c r="P464" s="64"/>
      <c r="Q464" s="64"/>
      <c r="R464" s="64"/>
      <c r="S464" s="64"/>
      <c r="T464" s="64"/>
      <c r="U464" s="64"/>
      <c r="V464" s="64"/>
      <c r="W464" s="64"/>
      <c r="X464" s="64"/>
      <c r="Y464" s="137"/>
      <c r="Z464" s="137"/>
      <c r="AA464" s="137"/>
      <c r="AB464" s="137"/>
      <c r="AC464" s="137"/>
    </row>
    <row r="465" spans="3:29" ht="15.75" customHeight="1">
      <c r="C465" s="63"/>
      <c r="D465" s="63"/>
      <c r="E465" s="63"/>
      <c r="F465" s="63"/>
      <c r="G465" s="63"/>
      <c r="H465" s="63"/>
      <c r="I465" s="63"/>
      <c r="J465" s="63"/>
      <c r="K465" s="63"/>
      <c r="L465" s="63"/>
      <c r="M465" s="168"/>
      <c r="N465" s="63"/>
      <c r="O465" s="64"/>
      <c r="P465" s="64"/>
      <c r="Q465" s="64"/>
      <c r="R465" s="64"/>
      <c r="S465" s="64"/>
      <c r="T465" s="64"/>
      <c r="U465" s="64"/>
      <c r="V465" s="64"/>
      <c r="W465" s="64"/>
      <c r="X465" s="64"/>
      <c r="Y465" s="137"/>
      <c r="Z465" s="137"/>
      <c r="AA465" s="137"/>
      <c r="AB465" s="137"/>
      <c r="AC465" s="137"/>
    </row>
    <row r="466" spans="3:29" ht="15.75" customHeight="1">
      <c r="C466" s="63"/>
      <c r="D466" s="63"/>
      <c r="E466" s="63"/>
      <c r="F466" s="63"/>
      <c r="G466" s="63"/>
      <c r="H466" s="63"/>
      <c r="I466" s="63"/>
      <c r="J466" s="63"/>
      <c r="K466" s="63"/>
      <c r="L466" s="63"/>
      <c r="M466" s="168"/>
      <c r="N466" s="63"/>
      <c r="O466" s="64"/>
      <c r="P466" s="64"/>
      <c r="Q466" s="64"/>
      <c r="R466" s="64"/>
      <c r="S466" s="64"/>
      <c r="T466" s="64"/>
      <c r="U466" s="64"/>
      <c r="V466" s="64"/>
      <c r="W466" s="64"/>
      <c r="X466" s="64"/>
      <c r="Y466" s="137"/>
      <c r="Z466" s="137"/>
      <c r="AA466" s="137"/>
      <c r="AB466" s="137"/>
      <c r="AC466" s="137"/>
    </row>
    <row r="467" spans="3:29" ht="15.75" customHeight="1">
      <c r="C467" s="63"/>
      <c r="D467" s="63"/>
      <c r="E467" s="63"/>
      <c r="F467" s="63"/>
      <c r="G467" s="63"/>
      <c r="H467" s="63"/>
      <c r="I467" s="63"/>
      <c r="J467" s="63"/>
      <c r="K467" s="63"/>
      <c r="L467" s="63"/>
      <c r="M467" s="168"/>
      <c r="N467" s="63"/>
      <c r="O467" s="64"/>
      <c r="P467" s="64"/>
      <c r="Q467" s="64"/>
      <c r="R467" s="64"/>
      <c r="S467" s="64"/>
      <c r="T467" s="64"/>
      <c r="U467" s="64"/>
      <c r="V467" s="64"/>
      <c r="W467" s="64"/>
      <c r="X467" s="64"/>
      <c r="Y467" s="137"/>
      <c r="Z467" s="137"/>
      <c r="AA467" s="137"/>
      <c r="AB467" s="137"/>
      <c r="AC467" s="137"/>
    </row>
    <row r="468" spans="3:29" ht="15.75" customHeight="1">
      <c r="C468" s="63"/>
      <c r="D468" s="63"/>
      <c r="E468" s="63"/>
      <c r="F468" s="63"/>
      <c r="G468" s="63"/>
      <c r="H468" s="63"/>
      <c r="I468" s="63"/>
      <c r="J468" s="63"/>
      <c r="K468" s="63"/>
      <c r="L468" s="63"/>
      <c r="M468" s="168"/>
      <c r="N468" s="63"/>
      <c r="O468" s="64"/>
      <c r="P468" s="64"/>
      <c r="Q468" s="64"/>
      <c r="R468" s="64"/>
      <c r="S468" s="64"/>
      <c r="T468" s="64"/>
      <c r="U468" s="64"/>
      <c r="V468" s="64"/>
      <c r="W468" s="64"/>
      <c r="X468" s="64"/>
      <c r="Y468" s="137"/>
      <c r="Z468" s="137"/>
      <c r="AA468" s="137"/>
      <c r="AB468" s="137"/>
      <c r="AC468" s="137"/>
    </row>
    <row r="469" spans="3:29" ht="15.75" customHeight="1">
      <c r="C469" s="63"/>
      <c r="D469" s="63"/>
      <c r="E469" s="63"/>
      <c r="F469" s="63"/>
      <c r="G469" s="63"/>
      <c r="H469" s="63"/>
      <c r="I469" s="63"/>
      <c r="J469" s="63"/>
      <c r="K469" s="63"/>
      <c r="L469" s="63"/>
      <c r="M469" s="168"/>
      <c r="N469" s="63"/>
      <c r="O469" s="64"/>
      <c r="P469" s="64"/>
      <c r="Q469" s="64"/>
      <c r="R469" s="64"/>
      <c r="S469" s="64"/>
      <c r="T469" s="64"/>
      <c r="U469" s="64"/>
      <c r="V469" s="64"/>
      <c r="W469" s="64"/>
      <c r="X469" s="64"/>
      <c r="Y469" s="137"/>
      <c r="Z469" s="137"/>
      <c r="AA469" s="137"/>
      <c r="AB469" s="137"/>
      <c r="AC469" s="137"/>
    </row>
    <row r="470" spans="3:29" ht="15.75" customHeight="1">
      <c r="C470" s="63"/>
      <c r="D470" s="63"/>
      <c r="E470" s="63"/>
      <c r="F470" s="63"/>
      <c r="G470" s="63"/>
      <c r="H470" s="63"/>
      <c r="I470" s="63"/>
      <c r="J470" s="63"/>
      <c r="K470" s="63"/>
      <c r="L470" s="63"/>
      <c r="M470" s="168"/>
      <c r="N470" s="63"/>
      <c r="O470" s="64"/>
      <c r="P470" s="64"/>
      <c r="Q470" s="64"/>
      <c r="R470" s="64"/>
      <c r="S470" s="64"/>
      <c r="T470" s="64"/>
      <c r="U470" s="64"/>
      <c r="V470" s="64"/>
      <c r="W470" s="64"/>
      <c r="X470" s="64"/>
      <c r="Y470" s="137"/>
      <c r="Z470" s="137"/>
      <c r="AA470" s="137"/>
      <c r="AB470" s="137"/>
      <c r="AC470" s="137"/>
    </row>
    <row r="471" spans="3:29" ht="15.75" customHeight="1">
      <c r="C471" s="63"/>
      <c r="D471" s="63"/>
      <c r="E471" s="63"/>
      <c r="F471" s="63"/>
      <c r="G471" s="63"/>
      <c r="H471" s="63"/>
      <c r="I471" s="63"/>
      <c r="J471" s="63"/>
      <c r="K471" s="63"/>
      <c r="L471" s="63"/>
      <c r="M471" s="168"/>
      <c r="N471" s="63"/>
      <c r="O471" s="64"/>
      <c r="P471" s="64"/>
      <c r="Q471" s="64"/>
      <c r="R471" s="64"/>
      <c r="S471" s="64"/>
      <c r="T471" s="64"/>
      <c r="U471" s="64"/>
      <c r="V471" s="64"/>
      <c r="W471" s="64"/>
      <c r="X471" s="64"/>
      <c r="Y471" s="137"/>
      <c r="Z471" s="137"/>
      <c r="AA471" s="137"/>
      <c r="AB471" s="137"/>
      <c r="AC471" s="137"/>
    </row>
    <row r="472" spans="3:29" ht="15.75" customHeight="1">
      <c r="C472" s="63"/>
      <c r="D472" s="63"/>
      <c r="E472" s="63"/>
      <c r="F472" s="63"/>
      <c r="G472" s="63"/>
      <c r="H472" s="63"/>
      <c r="I472" s="63"/>
      <c r="J472" s="63"/>
      <c r="K472" s="63"/>
      <c r="L472" s="63"/>
      <c r="M472" s="168"/>
      <c r="N472" s="63"/>
      <c r="O472" s="64"/>
      <c r="P472" s="64"/>
      <c r="Q472" s="64"/>
      <c r="R472" s="64"/>
      <c r="S472" s="64"/>
      <c r="T472" s="64"/>
      <c r="U472" s="64"/>
      <c r="V472" s="64"/>
      <c r="W472" s="64"/>
      <c r="X472" s="64"/>
      <c r="Y472" s="137"/>
      <c r="Z472" s="137"/>
      <c r="AA472" s="137"/>
      <c r="AB472" s="137"/>
      <c r="AC472" s="137"/>
    </row>
    <row r="473" spans="3:29" ht="15.75" customHeight="1">
      <c r="C473" s="63"/>
      <c r="D473" s="63"/>
      <c r="E473" s="63"/>
      <c r="F473" s="63"/>
      <c r="G473" s="63"/>
      <c r="H473" s="63"/>
      <c r="I473" s="63"/>
      <c r="J473" s="63"/>
      <c r="K473" s="63"/>
      <c r="L473" s="63"/>
      <c r="M473" s="168"/>
      <c r="N473" s="63"/>
      <c r="O473" s="64"/>
      <c r="P473" s="64"/>
      <c r="Q473" s="64"/>
      <c r="R473" s="64"/>
      <c r="S473" s="64"/>
      <c r="T473" s="64"/>
      <c r="U473" s="64"/>
      <c r="V473" s="64"/>
      <c r="W473" s="64"/>
      <c r="X473" s="64"/>
      <c r="Y473" s="137"/>
      <c r="Z473" s="137"/>
      <c r="AA473" s="137"/>
      <c r="AB473" s="137"/>
      <c r="AC473" s="137"/>
    </row>
    <row r="474" spans="3:29" ht="15.75" customHeight="1">
      <c r="C474" s="63"/>
      <c r="D474" s="63"/>
      <c r="E474" s="63"/>
      <c r="F474" s="63"/>
      <c r="G474" s="63"/>
      <c r="H474" s="63"/>
      <c r="I474" s="63"/>
      <c r="J474" s="63"/>
      <c r="K474" s="63"/>
      <c r="L474" s="63"/>
      <c r="M474" s="168"/>
      <c r="N474" s="63"/>
      <c r="O474" s="64"/>
      <c r="P474" s="64"/>
      <c r="Q474" s="64"/>
      <c r="R474" s="64"/>
      <c r="S474" s="64"/>
      <c r="T474" s="64"/>
      <c r="U474" s="64"/>
      <c r="V474" s="64"/>
      <c r="W474" s="64"/>
      <c r="X474" s="64"/>
      <c r="Y474" s="137"/>
      <c r="Z474" s="137"/>
      <c r="AA474" s="137"/>
      <c r="AB474" s="137"/>
      <c r="AC474" s="137"/>
    </row>
    <row r="475" spans="3:29" ht="15.75" customHeight="1">
      <c r="C475" s="63"/>
      <c r="D475" s="63"/>
      <c r="E475" s="63"/>
      <c r="F475" s="63"/>
      <c r="G475" s="63"/>
      <c r="H475" s="63"/>
      <c r="I475" s="63"/>
      <c r="J475" s="63"/>
      <c r="K475" s="63"/>
      <c r="L475" s="63"/>
      <c r="M475" s="168"/>
      <c r="N475" s="63"/>
      <c r="O475" s="64"/>
      <c r="P475" s="64"/>
      <c r="Q475" s="64"/>
      <c r="R475" s="64"/>
      <c r="S475" s="64"/>
      <c r="T475" s="64"/>
      <c r="U475" s="64"/>
      <c r="V475" s="64"/>
      <c r="W475" s="64"/>
      <c r="X475" s="64"/>
      <c r="Y475" s="137"/>
      <c r="Z475" s="137"/>
      <c r="AA475" s="137"/>
      <c r="AB475" s="137"/>
      <c r="AC475" s="137"/>
    </row>
    <row r="476" spans="3:29" ht="15.75" customHeight="1">
      <c r="C476" s="63"/>
      <c r="D476" s="63"/>
      <c r="E476" s="63"/>
      <c r="F476" s="63"/>
      <c r="G476" s="63"/>
      <c r="H476" s="63"/>
      <c r="I476" s="63"/>
      <c r="J476" s="63"/>
      <c r="K476" s="63"/>
      <c r="L476" s="63"/>
      <c r="M476" s="168"/>
      <c r="N476" s="63"/>
      <c r="O476" s="64"/>
      <c r="P476" s="64"/>
      <c r="Q476" s="64"/>
      <c r="R476" s="64"/>
      <c r="S476" s="64"/>
      <c r="T476" s="64"/>
      <c r="U476" s="64"/>
      <c r="V476" s="64"/>
      <c r="W476" s="64"/>
      <c r="X476" s="64"/>
      <c r="Y476" s="137"/>
      <c r="Z476" s="137"/>
      <c r="AA476" s="137"/>
      <c r="AB476" s="137"/>
      <c r="AC476" s="137"/>
    </row>
    <row r="477" spans="3:29" ht="15.75" customHeight="1">
      <c r="C477" s="63"/>
      <c r="D477" s="63"/>
      <c r="E477" s="63"/>
      <c r="F477" s="63"/>
      <c r="G477" s="63"/>
      <c r="H477" s="63"/>
      <c r="I477" s="63"/>
      <c r="J477" s="63"/>
      <c r="K477" s="63"/>
      <c r="L477" s="63"/>
      <c r="M477" s="168"/>
      <c r="N477" s="63"/>
      <c r="O477" s="64"/>
      <c r="P477" s="64"/>
      <c r="Q477" s="64"/>
      <c r="R477" s="64"/>
      <c r="S477" s="64"/>
      <c r="T477" s="64"/>
      <c r="U477" s="64"/>
      <c r="V477" s="64"/>
      <c r="W477" s="64"/>
      <c r="X477" s="64"/>
      <c r="Y477" s="137"/>
      <c r="Z477" s="137"/>
      <c r="AA477" s="137"/>
      <c r="AB477" s="137"/>
      <c r="AC477" s="137"/>
    </row>
    <row r="478" spans="3:29" ht="15.75" customHeight="1">
      <c r="C478" s="63"/>
      <c r="D478" s="63"/>
      <c r="E478" s="63"/>
      <c r="F478" s="63"/>
      <c r="G478" s="63"/>
      <c r="H478" s="63"/>
      <c r="I478" s="63"/>
      <c r="J478" s="63"/>
      <c r="K478" s="63"/>
      <c r="L478" s="63"/>
      <c r="M478" s="168"/>
      <c r="N478" s="63"/>
      <c r="O478" s="64"/>
      <c r="P478" s="64"/>
      <c r="Q478" s="64"/>
      <c r="R478" s="64"/>
      <c r="S478" s="64"/>
      <c r="T478" s="64"/>
      <c r="U478" s="64"/>
      <c r="V478" s="64"/>
      <c r="W478" s="64"/>
      <c r="X478" s="64"/>
      <c r="Y478" s="137"/>
      <c r="Z478" s="137"/>
      <c r="AA478" s="137"/>
      <c r="AB478" s="137"/>
      <c r="AC478" s="137"/>
    </row>
    <row r="479" spans="3:29" ht="15.75" customHeight="1">
      <c r="C479" s="63"/>
      <c r="D479" s="63"/>
      <c r="E479" s="63"/>
      <c r="F479" s="63"/>
      <c r="G479" s="63"/>
      <c r="H479" s="63"/>
      <c r="I479" s="63"/>
      <c r="J479" s="63"/>
      <c r="K479" s="63"/>
      <c r="L479" s="63"/>
      <c r="M479" s="168"/>
      <c r="N479" s="63"/>
      <c r="O479" s="64"/>
      <c r="P479" s="64"/>
      <c r="Q479" s="64"/>
      <c r="R479" s="64"/>
      <c r="S479" s="64"/>
      <c r="T479" s="64"/>
      <c r="U479" s="64"/>
      <c r="V479" s="64"/>
      <c r="W479" s="64"/>
      <c r="X479" s="64"/>
      <c r="Y479" s="137"/>
      <c r="Z479" s="137"/>
      <c r="AA479" s="137"/>
      <c r="AB479" s="137"/>
      <c r="AC479" s="137"/>
    </row>
    <row r="480" spans="3:29" ht="15.75" customHeight="1">
      <c r="C480" s="63"/>
      <c r="D480" s="63"/>
      <c r="E480" s="63"/>
      <c r="F480" s="63"/>
      <c r="G480" s="63"/>
      <c r="H480" s="63"/>
      <c r="I480" s="63"/>
      <c r="J480" s="63"/>
      <c r="K480" s="63"/>
      <c r="L480" s="63"/>
      <c r="M480" s="168"/>
      <c r="N480" s="63"/>
      <c r="O480" s="64"/>
      <c r="P480" s="64"/>
      <c r="Q480" s="64"/>
      <c r="R480" s="64"/>
      <c r="S480" s="64"/>
      <c r="T480" s="64"/>
      <c r="U480" s="64"/>
      <c r="V480" s="64"/>
      <c r="W480" s="64"/>
      <c r="X480" s="64"/>
      <c r="Y480" s="137"/>
      <c r="Z480" s="137"/>
      <c r="AA480" s="137"/>
      <c r="AB480" s="137"/>
      <c r="AC480" s="137"/>
    </row>
    <row r="481" spans="3:29" ht="15.75" customHeight="1">
      <c r="C481" s="63"/>
      <c r="D481" s="63"/>
      <c r="E481" s="63"/>
      <c r="F481" s="63"/>
      <c r="G481" s="63"/>
      <c r="H481" s="63"/>
      <c r="I481" s="63"/>
      <c r="J481" s="63"/>
      <c r="K481" s="63"/>
      <c r="L481" s="63"/>
      <c r="M481" s="168"/>
      <c r="N481" s="63"/>
      <c r="O481" s="64"/>
      <c r="P481" s="64"/>
      <c r="Q481" s="64"/>
      <c r="R481" s="64"/>
      <c r="S481" s="64"/>
      <c r="T481" s="64"/>
      <c r="U481" s="64"/>
      <c r="V481" s="64"/>
      <c r="W481" s="64"/>
      <c r="X481" s="64"/>
      <c r="Y481" s="137"/>
      <c r="Z481" s="137"/>
      <c r="AA481" s="137"/>
      <c r="AB481" s="137"/>
      <c r="AC481" s="137"/>
    </row>
    <row r="482" spans="3:29" ht="15.75" customHeight="1">
      <c r="C482" s="63"/>
      <c r="D482" s="63"/>
      <c r="E482" s="63"/>
      <c r="F482" s="63"/>
      <c r="G482" s="63"/>
      <c r="H482" s="63"/>
      <c r="I482" s="63"/>
      <c r="J482" s="63"/>
      <c r="K482" s="63"/>
      <c r="L482" s="63"/>
      <c r="M482" s="168"/>
      <c r="N482" s="63"/>
      <c r="O482" s="64"/>
      <c r="P482" s="64"/>
      <c r="Q482" s="64"/>
      <c r="R482" s="64"/>
      <c r="S482" s="64"/>
      <c r="T482" s="64"/>
      <c r="U482" s="64"/>
      <c r="V482" s="64"/>
      <c r="W482" s="64"/>
      <c r="X482" s="64"/>
      <c r="Y482" s="137"/>
      <c r="Z482" s="137"/>
      <c r="AA482" s="137"/>
      <c r="AB482" s="137"/>
      <c r="AC482" s="137"/>
    </row>
    <row r="483" spans="3:29" ht="15.75" customHeight="1">
      <c r="C483" s="63"/>
      <c r="D483" s="63"/>
      <c r="E483" s="63"/>
      <c r="F483" s="63"/>
      <c r="G483" s="63"/>
      <c r="H483" s="63"/>
      <c r="I483" s="63"/>
      <c r="J483" s="63"/>
      <c r="K483" s="63"/>
      <c r="L483" s="63"/>
      <c r="M483" s="168"/>
      <c r="N483" s="63"/>
      <c r="O483" s="64"/>
      <c r="P483" s="64"/>
      <c r="Q483" s="64"/>
      <c r="R483" s="64"/>
      <c r="S483" s="64"/>
      <c r="T483" s="64"/>
      <c r="U483" s="64"/>
      <c r="V483" s="64"/>
      <c r="W483" s="64"/>
      <c r="X483" s="64"/>
      <c r="Y483" s="137"/>
      <c r="Z483" s="137"/>
      <c r="AA483" s="137"/>
      <c r="AB483" s="137"/>
      <c r="AC483" s="137"/>
    </row>
    <row r="484" spans="3:29" ht="15.75" customHeight="1">
      <c r="C484" s="63"/>
      <c r="D484" s="63"/>
      <c r="E484" s="63"/>
      <c r="F484" s="63"/>
      <c r="G484" s="63"/>
      <c r="H484" s="63"/>
      <c r="I484" s="63"/>
      <c r="J484" s="63"/>
      <c r="K484" s="63"/>
      <c r="L484" s="63"/>
      <c r="M484" s="168"/>
      <c r="N484" s="63"/>
      <c r="O484" s="64"/>
      <c r="P484" s="64"/>
      <c r="Q484" s="64"/>
      <c r="R484" s="64"/>
      <c r="S484" s="64"/>
      <c r="T484" s="64"/>
      <c r="U484" s="64"/>
      <c r="V484" s="64"/>
      <c r="W484" s="64"/>
      <c r="X484" s="64"/>
      <c r="Y484" s="137"/>
      <c r="Z484" s="137"/>
      <c r="AA484" s="137"/>
      <c r="AB484" s="137"/>
      <c r="AC484" s="137"/>
    </row>
    <row r="485" spans="3:29" ht="15.75" customHeight="1">
      <c r="C485" s="63"/>
      <c r="D485" s="63"/>
      <c r="E485" s="63"/>
      <c r="F485" s="63"/>
      <c r="G485" s="63"/>
      <c r="H485" s="63"/>
      <c r="I485" s="63"/>
      <c r="J485" s="63"/>
      <c r="K485" s="63"/>
      <c r="L485" s="63"/>
      <c r="M485" s="168"/>
      <c r="N485" s="63"/>
      <c r="O485" s="64"/>
      <c r="P485" s="64"/>
      <c r="Q485" s="64"/>
      <c r="R485" s="64"/>
      <c r="S485" s="64"/>
      <c r="T485" s="64"/>
      <c r="U485" s="64"/>
      <c r="V485" s="64"/>
      <c r="W485" s="64"/>
      <c r="X485" s="64"/>
      <c r="Y485" s="137"/>
      <c r="Z485" s="137"/>
      <c r="AA485" s="137"/>
      <c r="AB485" s="137"/>
      <c r="AC485" s="137"/>
    </row>
    <row r="486" spans="3:29" ht="15.75" customHeight="1">
      <c r="C486" s="63"/>
      <c r="D486" s="63"/>
      <c r="E486" s="63"/>
      <c r="F486" s="63"/>
      <c r="G486" s="63"/>
      <c r="H486" s="63"/>
      <c r="I486" s="63"/>
      <c r="J486" s="63"/>
      <c r="K486" s="63"/>
      <c r="L486" s="63"/>
      <c r="M486" s="168"/>
      <c r="N486" s="63"/>
      <c r="O486" s="64"/>
      <c r="P486" s="64"/>
      <c r="Q486" s="64"/>
      <c r="R486" s="64"/>
      <c r="S486" s="64"/>
      <c r="T486" s="64"/>
      <c r="U486" s="64"/>
      <c r="V486" s="64"/>
      <c r="W486" s="64"/>
      <c r="X486" s="64"/>
      <c r="Y486" s="137"/>
      <c r="Z486" s="137"/>
      <c r="AA486" s="137"/>
      <c r="AB486" s="137"/>
      <c r="AC486" s="137"/>
    </row>
    <row r="487" spans="3:29" ht="15.75" customHeight="1">
      <c r="C487" s="63"/>
      <c r="D487" s="63"/>
      <c r="E487" s="63"/>
      <c r="F487" s="63"/>
      <c r="G487" s="63"/>
      <c r="H487" s="63"/>
      <c r="I487" s="63"/>
      <c r="J487" s="63"/>
      <c r="K487" s="63"/>
      <c r="L487" s="63"/>
      <c r="M487" s="168"/>
      <c r="N487" s="63"/>
      <c r="O487" s="64"/>
      <c r="P487" s="64"/>
      <c r="Q487" s="64"/>
      <c r="R487" s="64"/>
      <c r="S487" s="64"/>
      <c r="T487" s="64"/>
      <c r="U487" s="64"/>
      <c r="V487" s="64"/>
      <c r="W487" s="64"/>
      <c r="X487" s="64"/>
      <c r="Y487" s="137"/>
      <c r="Z487" s="137"/>
      <c r="AA487" s="137"/>
      <c r="AB487" s="137"/>
      <c r="AC487" s="137"/>
    </row>
    <row r="488" spans="3:29" ht="15.75" customHeight="1">
      <c r="C488" s="63"/>
      <c r="D488" s="63"/>
      <c r="E488" s="63"/>
      <c r="F488" s="63"/>
      <c r="G488" s="63"/>
      <c r="H488" s="63"/>
      <c r="I488" s="63"/>
      <c r="J488" s="63"/>
      <c r="K488" s="63"/>
      <c r="L488" s="63"/>
      <c r="M488" s="168"/>
      <c r="N488" s="63"/>
      <c r="O488" s="64"/>
      <c r="P488" s="64"/>
      <c r="Q488" s="64"/>
      <c r="R488" s="64"/>
      <c r="S488" s="64"/>
      <c r="T488" s="64"/>
      <c r="U488" s="64"/>
      <c r="V488" s="64"/>
      <c r="W488" s="64"/>
      <c r="X488" s="64"/>
      <c r="Y488" s="137"/>
      <c r="Z488" s="137"/>
      <c r="AA488" s="137"/>
      <c r="AB488" s="137"/>
      <c r="AC488" s="137"/>
    </row>
    <row r="489" spans="3:29" ht="15.75" customHeight="1">
      <c r="C489" s="63"/>
      <c r="D489" s="63"/>
      <c r="E489" s="63"/>
      <c r="F489" s="63"/>
      <c r="G489" s="63"/>
      <c r="H489" s="63"/>
      <c r="I489" s="63"/>
      <c r="J489" s="63"/>
      <c r="K489" s="63"/>
      <c r="L489" s="63"/>
      <c r="M489" s="168"/>
      <c r="N489" s="63"/>
      <c r="O489" s="64"/>
      <c r="P489" s="64"/>
      <c r="Q489" s="64"/>
      <c r="R489" s="64"/>
      <c r="S489" s="64"/>
      <c r="T489" s="64"/>
      <c r="U489" s="64"/>
      <c r="V489" s="64"/>
      <c r="W489" s="64"/>
      <c r="X489" s="64"/>
      <c r="Y489" s="137"/>
      <c r="Z489" s="137"/>
      <c r="AA489" s="137"/>
      <c r="AB489" s="137"/>
      <c r="AC489" s="137"/>
    </row>
    <row r="490" spans="3:29" ht="15.75" customHeight="1">
      <c r="C490" s="63"/>
      <c r="D490" s="63"/>
      <c r="E490" s="63"/>
      <c r="F490" s="63"/>
      <c r="G490" s="63"/>
      <c r="H490" s="63"/>
      <c r="I490" s="63"/>
      <c r="J490" s="63"/>
      <c r="K490" s="63"/>
      <c r="L490" s="63"/>
      <c r="M490" s="168"/>
      <c r="N490" s="63"/>
      <c r="O490" s="64"/>
      <c r="P490" s="64"/>
      <c r="Q490" s="64"/>
      <c r="R490" s="64"/>
      <c r="S490" s="64"/>
      <c r="T490" s="64"/>
      <c r="U490" s="64"/>
      <c r="V490" s="64"/>
      <c r="W490" s="64"/>
      <c r="X490" s="64"/>
      <c r="Y490" s="137"/>
      <c r="Z490" s="137"/>
      <c r="AA490" s="137"/>
      <c r="AB490" s="137"/>
      <c r="AC490" s="137"/>
    </row>
    <row r="491" spans="3:29" ht="15.75" customHeight="1">
      <c r="C491" s="63"/>
      <c r="D491" s="63"/>
      <c r="E491" s="63"/>
      <c r="F491" s="63"/>
      <c r="G491" s="63"/>
      <c r="H491" s="63"/>
      <c r="I491" s="63"/>
      <c r="J491" s="63"/>
      <c r="K491" s="63"/>
      <c r="L491" s="63"/>
      <c r="M491" s="168"/>
      <c r="N491" s="63"/>
      <c r="O491" s="64"/>
      <c r="P491" s="64"/>
      <c r="Q491" s="64"/>
      <c r="R491" s="64"/>
      <c r="S491" s="64"/>
      <c r="T491" s="64"/>
      <c r="U491" s="64"/>
      <c r="V491" s="64"/>
      <c r="W491" s="64"/>
      <c r="X491" s="64"/>
      <c r="Y491" s="137"/>
      <c r="Z491" s="137"/>
      <c r="AA491" s="137"/>
      <c r="AB491" s="137"/>
      <c r="AC491" s="137"/>
    </row>
    <row r="492" spans="3:29" ht="15.75" customHeight="1">
      <c r="C492" s="63"/>
      <c r="D492" s="63"/>
      <c r="E492" s="63"/>
      <c r="F492" s="63"/>
      <c r="G492" s="63"/>
      <c r="H492" s="63"/>
      <c r="I492" s="63"/>
      <c r="J492" s="63"/>
      <c r="K492" s="63"/>
      <c r="L492" s="63"/>
      <c r="M492" s="168"/>
      <c r="N492" s="63"/>
      <c r="O492" s="64"/>
      <c r="P492" s="64"/>
      <c r="Q492" s="64"/>
      <c r="R492" s="64"/>
      <c r="S492" s="64"/>
      <c r="T492" s="64"/>
      <c r="U492" s="64"/>
      <c r="V492" s="64"/>
      <c r="W492" s="64"/>
      <c r="X492" s="64"/>
      <c r="Y492" s="137"/>
      <c r="Z492" s="137"/>
      <c r="AA492" s="137"/>
      <c r="AB492" s="137"/>
      <c r="AC492" s="137"/>
    </row>
    <row r="493" spans="3:29" ht="15.75" customHeight="1">
      <c r="C493" s="63"/>
      <c r="D493" s="63"/>
      <c r="E493" s="63"/>
      <c r="F493" s="63"/>
      <c r="G493" s="63"/>
      <c r="H493" s="63"/>
      <c r="I493" s="63"/>
      <c r="J493" s="63"/>
      <c r="K493" s="63"/>
      <c r="L493" s="63"/>
      <c r="M493" s="168"/>
      <c r="N493" s="63"/>
      <c r="O493" s="64"/>
      <c r="P493" s="64"/>
      <c r="Q493" s="64"/>
      <c r="R493" s="64"/>
      <c r="S493" s="64"/>
      <c r="T493" s="64"/>
      <c r="U493" s="64"/>
      <c r="V493" s="64"/>
      <c r="W493" s="64"/>
      <c r="X493" s="64"/>
      <c r="Y493" s="137"/>
      <c r="Z493" s="137"/>
      <c r="AA493" s="137"/>
      <c r="AB493" s="137"/>
      <c r="AC493" s="137"/>
    </row>
    <row r="494" spans="3:29" ht="15.75" customHeight="1">
      <c r="C494" s="63"/>
      <c r="D494" s="63"/>
      <c r="E494" s="63"/>
      <c r="F494" s="63"/>
      <c r="G494" s="63"/>
      <c r="H494" s="63"/>
      <c r="I494" s="63"/>
      <c r="J494" s="63"/>
      <c r="K494" s="63"/>
      <c r="L494" s="63"/>
      <c r="M494" s="168"/>
      <c r="N494" s="63"/>
      <c r="O494" s="64"/>
      <c r="P494" s="64"/>
      <c r="Q494" s="64"/>
      <c r="R494" s="64"/>
      <c r="S494" s="64"/>
      <c r="T494" s="64"/>
      <c r="U494" s="64"/>
      <c r="V494" s="64"/>
      <c r="W494" s="64"/>
      <c r="X494" s="64"/>
      <c r="Y494" s="137"/>
      <c r="Z494" s="137"/>
      <c r="AA494" s="137"/>
      <c r="AB494" s="137"/>
      <c r="AC494" s="137"/>
    </row>
    <row r="495" spans="3:29" ht="15.75" customHeight="1">
      <c r="C495" s="63"/>
      <c r="D495" s="63"/>
      <c r="E495" s="63"/>
      <c r="F495" s="63"/>
      <c r="G495" s="63"/>
      <c r="H495" s="63"/>
      <c r="I495" s="63"/>
      <c r="J495" s="63"/>
      <c r="K495" s="63"/>
      <c r="L495" s="63"/>
      <c r="M495" s="168"/>
      <c r="N495" s="63"/>
      <c r="O495" s="64"/>
      <c r="P495" s="64"/>
      <c r="Q495" s="64"/>
      <c r="R495" s="64"/>
      <c r="S495" s="64"/>
      <c r="T495" s="64"/>
      <c r="U495" s="64"/>
      <c r="V495" s="64"/>
      <c r="W495" s="64"/>
      <c r="X495" s="64"/>
      <c r="Y495" s="137"/>
      <c r="Z495" s="137"/>
      <c r="AA495" s="137"/>
      <c r="AB495" s="137"/>
      <c r="AC495" s="137"/>
    </row>
    <row r="496" spans="3:29" ht="15.75" customHeight="1">
      <c r="C496" s="63"/>
      <c r="D496" s="63"/>
      <c r="E496" s="63"/>
      <c r="F496" s="63"/>
      <c r="G496" s="63"/>
      <c r="H496" s="63"/>
      <c r="I496" s="63"/>
      <c r="J496" s="63"/>
      <c r="K496" s="63"/>
      <c r="L496" s="63"/>
      <c r="M496" s="168"/>
      <c r="N496" s="63"/>
      <c r="O496" s="64"/>
      <c r="P496" s="64"/>
      <c r="Q496" s="64"/>
      <c r="R496" s="64"/>
      <c r="S496" s="64"/>
      <c r="T496" s="64"/>
      <c r="U496" s="64"/>
      <c r="V496" s="64"/>
      <c r="W496" s="64"/>
      <c r="X496" s="64"/>
      <c r="Y496" s="137"/>
      <c r="Z496" s="137"/>
      <c r="AA496" s="137"/>
      <c r="AB496" s="137"/>
      <c r="AC496" s="137"/>
    </row>
    <row r="497" spans="3:29" ht="15.75" customHeight="1">
      <c r="C497" s="63"/>
      <c r="D497" s="63"/>
      <c r="E497" s="63"/>
      <c r="F497" s="63"/>
      <c r="G497" s="63"/>
      <c r="H497" s="63"/>
      <c r="I497" s="63"/>
      <c r="J497" s="63"/>
      <c r="K497" s="63"/>
      <c r="L497" s="63"/>
      <c r="M497" s="168"/>
      <c r="N497" s="63"/>
      <c r="O497" s="64"/>
      <c r="P497" s="64"/>
      <c r="Q497" s="64"/>
      <c r="R497" s="64"/>
      <c r="S497" s="64"/>
      <c r="T497" s="64"/>
      <c r="U497" s="64"/>
      <c r="V497" s="64"/>
      <c r="W497" s="64"/>
      <c r="X497" s="64"/>
      <c r="Y497" s="137"/>
      <c r="Z497" s="137"/>
      <c r="AA497" s="137"/>
      <c r="AB497" s="137"/>
      <c r="AC497" s="137"/>
    </row>
    <row r="498" spans="3:29" ht="15.75" customHeight="1">
      <c r="C498" s="63"/>
      <c r="D498" s="63"/>
      <c r="E498" s="63"/>
      <c r="F498" s="63"/>
      <c r="G498" s="63"/>
      <c r="H498" s="63"/>
      <c r="I498" s="63"/>
      <c r="J498" s="63"/>
      <c r="K498" s="63"/>
      <c r="L498" s="63"/>
      <c r="M498" s="168"/>
      <c r="N498" s="63"/>
      <c r="O498" s="64"/>
      <c r="P498" s="64"/>
      <c r="Q498" s="64"/>
      <c r="R498" s="64"/>
      <c r="S498" s="64"/>
      <c r="T498" s="64"/>
      <c r="U498" s="64"/>
      <c r="V498" s="64"/>
      <c r="W498" s="64"/>
      <c r="X498" s="64"/>
      <c r="Y498" s="137"/>
      <c r="Z498" s="137"/>
      <c r="AA498" s="137"/>
      <c r="AB498" s="137"/>
      <c r="AC498" s="137"/>
    </row>
    <row r="499" spans="3:29" ht="15.75" customHeight="1">
      <c r="C499" s="63"/>
      <c r="D499" s="63"/>
      <c r="E499" s="63"/>
      <c r="F499" s="63"/>
      <c r="G499" s="63"/>
      <c r="H499" s="63"/>
      <c r="I499" s="63"/>
      <c r="J499" s="63"/>
      <c r="K499" s="63"/>
      <c r="L499" s="63"/>
      <c r="M499" s="168"/>
      <c r="N499" s="63"/>
      <c r="O499" s="64"/>
      <c r="P499" s="64"/>
      <c r="Q499" s="64"/>
      <c r="R499" s="64"/>
      <c r="S499" s="64"/>
      <c r="T499" s="64"/>
      <c r="U499" s="64"/>
      <c r="V499" s="64"/>
      <c r="W499" s="64"/>
      <c r="X499" s="64"/>
      <c r="Y499" s="137"/>
      <c r="Z499" s="137"/>
      <c r="AA499" s="137"/>
      <c r="AB499" s="137"/>
      <c r="AC499" s="137"/>
    </row>
    <row r="500" spans="3:29" ht="15.75" customHeight="1">
      <c r="C500" s="63"/>
      <c r="D500" s="63"/>
      <c r="E500" s="63"/>
      <c r="F500" s="63"/>
      <c r="G500" s="63"/>
      <c r="H500" s="63"/>
      <c r="I500" s="63"/>
      <c r="J500" s="63"/>
      <c r="K500" s="63"/>
      <c r="L500" s="63"/>
      <c r="M500" s="168"/>
      <c r="N500" s="63"/>
      <c r="O500" s="64"/>
      <c r="P500" s="64"/>
      <c r="Q500" s="64"/>
      <c r="R500" s="64"/>
      <c r="S500" s="64"/>
      <c r="T500" s="64"/>
      <c r="U500" s="64"/>
      <c r="V500" s="64"/>
      <c r="W500" s="64"/>
      <c r="X500" s="64"/>
      <c r="Y500" s="137"/>
      <c r="Z500" s="137"/>
      <c r="AA500" s="137"/>
      <c r="AB500" s="137"/>
      <c r="AC500" s="137"/>
    </row>
    <row r="501" spans="3:29" ht="15.75" customHeight="1">
      <c r="C501" s="63"/>
      <c r="D501" s="63"/>
      <c r="E501" s="63"/>
      <c r="F501" s="63"/>
      <c r="G501" s="63"/>
      <c r="H501" s="63"/>
      <c r="I501" s="63"/>
      <c r="J501" s="63"/>
      <c r="K501" s="63"/>
      <c r="L501" s="63"/>
      <c r="M501" s="168"/>
      <c r="N501" s="63"/>
      <c r="O501" s="64"/>
      <c r="P501" s="64"/>
      <c r="Q501" s="64"/>
      <c r="R501" s="64"/>
      <c r="S501" s="64"/>
      <c r="T501" s="64"/>
      <c r="U501" s="64"/>
      <c r="V501" s="64"/>
      <c r="W501" s="64"/>
      <c r="X501" s="64"/>
      <c r="Y501" s="137"/>
      <c r="Z501" s="137"/>
      <c r="AA501" s="137"/>
      <c r="AB501" s="137"/>
      <c r="AC501" s="137"/>
    </row>
    <row r="502" spans="3:29" ht="15.75" customHeight="1">
      <c r="C502" s="63"/>
      <c r="D502" s="63"/>
      <c r="E502" s="63"/>
      <c r="F502" s="63"/>
      <c r="G502" s="63"/>
      <c r="H502" s="63"/>
      <c r="I502" s="63"/>
      <c r="J502" s="63"/>
      <c r="K502" s="63"/>
      <c r="L502" s="63"/>
      <c r="M502" s="168"/>
      <c r="N502" s="63"/>
      <c r="O502" s="64"/>
      <c r="P502" s="64"/>
      <c r="Q502" s="64"/>
      <c r="R502" s="64"/>
      <c r="S502" s="64"/>
      <c r="T502" s="64"/>
      <c r="U502" s="64"/>
      <c r="V502" s="64"/>
      <c r="W502" s="64"/>
      <c r="X502" s="64"/>
      <c r="Y502" s="137"/>
      <c r="Z502" s="137"/>
      <c r="AA502" s="137"/>
      <c r="AB502" s="137"/>
      <c r="AC502" s="137"/>
    </row>
    <row r="503" spans="3:29" ht="15.75" customHeight="1">
      <c r="C503" s="63"/>
      <c r="D503" s="63"/>
      <c r="E503" s="63"/>
      <c r="F503" s="63"/>
      <c r="G503" s="63"/>
      <c r="H503" s="63"/>
      <c r="I503" s="63"/>
      <c r="J503" s="63"/>
      <c r="K503" s="63"/>
      <c r="L503" s="63"/>
      <c r="M503" s="168"/>
      <c r="N503" s="63"/>
      <c r="O503" s="64"/>
      <c r="P503" s="64"/>
      <c r="Q503" s="64"/>
      <c r="R503" s="64"/>
      <c r="S503" s="64"/>
      <c r="T503" s="64"/>
      <c r="U503" s="64"/>
      <c r="V503" s="64"/>
      <c r="W503" s="64"/>
      <c r="X503" s="64"/>
      <c r="Y503" s="137"/>
      <c r="Z503" s="137"/>
      <c r="AA503" s="137"/>
      <c r="AB503" s="137"/>
      <c r="AC503" s="137"/>
    </row>
    <row r="504" spans="3:29" ht="15.75" customHeight="1">
      <c r="C504" s="63"/>
      <c r="D504" s="63"/>
      <c r="E504" s="63"/>
      <c r="F504" s="63"/>
      <c r="G504" s="63"/>
      <c r="H504" s="63"/>
      <c r="I504" s="63"/>
      <c r="J504" s="63"/>
      <c r="K504" s="63"/>
      <c r="L504" s="63"/>
      <c r="M504" s="168"/>
      <c r="N504" s="63"/>
      <c r="O504" s="64"/>
      <c r="P504" s="64"/>
      <c r="Q504" s="64"/>
      <c r="R504" s="64"/>
      <c r="S504" s="64"/>
      <c r="T504" s="64"/>
      <c r="U504" s="64"/>
      <c r="V504" s="64"/>
      <c r="W504" s="64"/>
      <c r="X504" s="64"/>
      <c r="Y504" s="137"/>
      <c r="Z504" s="137"/>
      <c r="AA504" s="137"/>
      <c r="AB504" s="137"/>
      <c r="AC504" s="137"/>
    </row>
    <row r="505" spans="3:29" ht="15.75" customHeight="1">
      <c r="C505" s="63"/>
      <c r="D505" s="63"/>
      <c r="E505" s="63"/>
      <c r="F505" s="63"/>
      <c r="G505" s="63"/>
      <c r="H505" s="63"/>
      <c r="I505" s="63"/>
      <c r="J505" s="63"/>
      <c r="K505" s="63"/>
      <c r="L505" s="63"/>
      <c r="M505" s="168"/>
      <c r="N505" s="63"/>
      <c r="O505" s="64"/>
      <c r="P505" s="64"/>
      <c r="Q505" s="64"/>
      <c r="R505" s="64"/>
      <c r="S505" s="64"/>
      <c r="T505" s="64"/>
      <c r="U505" s="64"/>
      <c r="V505" s="64"/>
      <c r="W505" s="64"/>
      <c r="X505" s="64"/>
      <c r="Y505" s="137"/>
      <c r="Z505" s="137"/>
      <c r="AA505" s="137"/>
      <c r="AB505" s="137"/>
      <c r="AC505" s="137"/>
    </row>
    <row r="506" spans="3:29" ht="15.75" customHeight="1">
      <c r="C506" s="63"/>
      <c r="D506" s="63"/>
      <c r="E506" s="63"/>
      <c r="F506" s="63"/>
      <c r="G506" s="63"/>
      <c r="H506" s="63"/>
      <c r="I506" s="63"/>
      <c r="J506" s="63"/>
      <c r="K506" s="63"/>
      <c r="L506" s="63"/>
      <c r="M506" s="168"/>
      <c r="N506" s="63"/>
      <c r="O506" s="64"/>
      <c r="P506" s="64"/>
      <c r="Q506" s="64"/>
      <c r="R506" s="64"/>
      <c r="S506" s="64"/>
      <c r="T506" s="64"/>
      <c r="U506" s="64"/>
      <c r="V506" s="64"/>
      <c r="W506" s="64"/>
      <c r="X506" s="64"/>
      <c r="Y506" s="137"/>
      <c r="Z506" s="137"/>
      <c r="AA506" s="137"/>
      <c r="AB506" s="137"/>
      <c r="AC506" s="137"/>
    </row>
    <row r="507" spans="3:29" ht="15.75" customHeight="1">
      <c r="C507" s="63"/>
      <c r="D507" s="63"/>
      <c r="E507" s="63"/>
      <c r="F507" s="63"/>
      <c r="G507" s="63"/>
      <c r="H507" s="63"/>
      <c r="I507" s="63"/>
      <c r="J507" s="63"/>
      <c r="K507" s="63"/>
      <c r="L507" s="63"/>
      <c r="M507" s="168"/>
      <c r="N507" s="63"/>
      <c r="O507" s="64"/>
      <c r="P507" s="64"/>
      <c r="Q507" s="64"/>
      <c r="R507" s="64"/>
      <c r="S507" s="64"/>
      <c r="T507" s="64"/>
      <c r="U507" s="64"/>
      <c r="V507" s="64"/>
      <c r="W507" s="64"/>
      <c r="X507" s="64"/>
      <c r="Y507" s="137"/>
      <c r="Z507" s="137"/>
      <c r="AA507" s="137"/>
      <c r="AB507" s="137"/>
      <c r="AC507" s="137"/>
    </row>
    <row r="508" spans="3:29" ht="15.75" customHeight="1">
      <c r="C508" s="63"/>
      <c r="D508" s="63"/>
      <c r="E508" s="63"/>
      <c r="F508" s="63"/>
      <c r="G508" s="63"/>
      <c r="H508" s="63"/>
      <c r="I508" s="63"/>
      <c r="J508" s="63"/>
      <c r="K508" s="63"/>
      <c r="L508" s="63"/>
      <c r="M508" s="168"/>
      <c r="N508" s="63"/>
      <c r="O508" s="64"/>
      <c r="P508" s="64"/>
      <c r="Q508" s="64"/>
      <c r="R508" s="64"/>
      <c r="S508" s="64"/>
      <c r="T508" s="64"/>
      <c r="U508" s="64"/>
      <c r="V508" s="64"/>
      <c r="W508" s="64"/>
      <c r="X508" s="64"/>
      <c r="Y508" s="137"/>
      <c r="Z508" s="137"/>
      <c r="AA508" s="137"/>
      <c r="AB508" s="137"/>
      <c r="AC508" s="137"/>
    </row>
    <row r="509" spans="3:29" ht="15.75" customHeight="1">
      <c r="C509" s="63"/>
      <c r="D509" s="63"/>
      <c r="E509" s="63"/>
      <c r="F509" s="63"/>
      <c r="G509" s="63"/>
      <c r="H509" s="63"/>
      <c r="I509" s="63"/>
      <c r="J509" s="63"/>
      <c r="K509" s="63"/>
      <c r="L509" s="63"/>
      <c r="M509" s="168"/>
      <c r="N509" s="63"/>
      <c r="O509" s="64"/>
      <c r="P509" s="64"/>
      <c r="Q509" s="64"/>
      <c r="R509" s="64"/>
      <c r="S509" s="64"/>
      <c r="T509" s="64"/>
      <c r="U509" s="64"/>
      <c r="V509" s="64"/>
      <c r="W509" s="64"/>
      <c r="X509" s="64"/>
      <c r="Y509" s="137"/>
      <c r="Z509" s="137"/>
      <c r="AA509" s="137"/>
      <c r="AB509" s="137"/>
      <c r="AC509" s="137"/>
    </row>
    <row r="510" spans="3:29" ht="15.75" customHeight="1">
      <c r="C510" s="63"/>
      <c r="D510" s="63"/>
      <c r="E510" s="63"/>
      <c r="F510" s="63"/>
      <c r="G510" s="63"/>
      <c r="H510" s="63"/>
      <c r="I510" s="63"/>
      <c r="J510" s="63"/>
      <c r="K510" s="63"/>
      <c r="L510" s="63"/>
      <c r="M510" s="168"/>
      <c r="N510" s="63"/>
      <c r="O510" s="64"/>
      <c r="P510" s="64"/>
      <c r="Q510" s="64"/>
      <c r="R510" s="64"/>
      <c r="S510" s="64"/>
      <c r="T510" s="64"/>
      <c r="U510" s="64"/>
      <c r="V510" s="64"/>
      <c r="W510" s="64"/>
      <c r="X510" s="64"/>
      <c r="Y510" s="137"/>
      <c r="Z510" s="137"/>
      <c r="AA510" s="137"/>
      <c r="AB510" s="137"/>
      <c r="AC510" s="137"/>
    </row>
    <row r="511" spans="3:29" ht="15.75" customHeight="1">
      <c r="C511" s="63"/>
      <c r="D511" s="63"/>
      <c r="E511" s="63"/>
      <c r="F511" s="63"/>
      <c r="G511" s="63"/>
      <c r="H511" s="63"/>
      <c r="I511" s="63"/>
      <c r="J511" s="63"/>
      <c r="K511" s="63"/>
      <c r="L511" s="63"/>
      <c r="M511" s="168"/>
      <c r="N511" s="63"/>
      <c r="O511" s="64"/>
      <c r="P511" s="64"/>
      <c r="Q511" s="64"/>
      <c r="R511" s="64"/>
      <c r="S511" s="64"/>
      <c r="T511" s="64"/>
      <c r="U511" s="64"/>
      <c r="V511" s="64"/>
      <c r="W511" s="64"/>
      <c r="X511" s="64"/>
      <c r="Y511" s="137"/>
      <c r="Z511" s="137"/>
      <c r="AA511" s="137"/>
      <c r="AB511" s="137"/>
      <c r="AC511" s="137"/>
    </row>
    <row r="512" spans="3:29" ht="15.75" customHeight="1">
      <c r="C512" s="63"/>
      <c r="D512" s="63"/>
      <c r="E512" s="63"/>
      <c r="F512" s="63"/>
      <c r="G512" s="63"/>
      <c r="H512" s="63"/>
      <c r="I512" s="63"/>
      <c r="J512" s="63"/>
      <c r="K512" s="63"/>
      <c r="L512" s="63"/>
      <c r="M512" s="168"/>
      <c r="N512" s="63"/>
      <c r="O512" s="64"/>
      <c r="P512" s="64"/>
      <c r="Q512" s="64"/>
      <c r="R512" s="64"/>
      <c r="S512" s="64"/>
      <c r="T512" s="64"/>
      <c r="U512" s="64"/>
      <c r="V512" s="64"/>
      <c r="W512" s="64"/>
      <c r="X512" s="64"/>
      <c r="Y512" s="137"/>
      <c r="Z512" s="137"/>
      <c r="AA512" s="137"/>
      <c r="AB512" s="137"/>
      <c r="AC512" s="137"/>
    </row>
    <row r="513" spans="3:29" ht="15.75" customHeight="1">
      <c r="C513" s="63"/>
      <c r="D513" s="63"/>
      <c r="E513" s="63"/>
      <c r="F513" s="63"/>
      <c r="G513" s="63"/>
      <c r="H513" s="63"/>
      <c r="I513" s="63"/>
      <c r="J513" s="63"/>
      <c r="K513" s="63"/>
      <c r="L513" s="63"/>
      <c r="M513" s="168"/>
      <c r="N513" s="63"/>
      <c r="O513" s="64"/>
      <c r="P513" s="64"/>
      <c r="Q513" s="64"/>
      <c r="R513" s="64"/>
      <c r="S513" s="64"/>
      <c r="T513" s="64"/>
      <c r="U513" s="64"/>
      <c r="V513" s="64"/>
      <c r="W513" s="64"/>
      <c r="X513" s="64"/>
      <c r="Y513" s="137"/>
      <c r="Z513" s="137"/>
      <c r="AA513" s="137"/>
      <c r="AB513" s="137"/>
      <c r="AC513" s="137"/>
    </row>
    <row r="514" spans="3:29" ht="15.75" customHeight="1">
      <c r="C514" s="63"/>
      <c r="D514" s="63"/>
      <c r="E514" s="63"/>
      <c r="F514" s="63"/>
      <c r="G514" s="63"/>
      <c r="H514" s="63"/>
      <c r="I514" s="63"/>
      <c r="J514" s="63"/>
      <c r="K514" s="63"/>
      <c r="L514" s="63"/>
      <c r="M514" s="168"/>
      <c r="N514" s="63"/>
      <c r="O514" s="64"/>
      <c r="P514" s="64"/>
      <c r="Q514" s="64"/>
      <c r="R514" s="64"/>
      <c r="S514" s="64"/>
      <c r="T514" s="64"/>
      <c r="U514" s="64"/>
      <c r="V514" s="64"/>
      <c r="W514" s="64"/>
      <c r="X514" s="64"/>
      <c r="Y514" s="137"/>
      <c r="Z514" s="137"/>
      <c r="AA514" s="137"/>
      <c r="AB514" s="137"/>
      <c r="AC514" s="137"/>
    </row>
    <row r="515" spans="3:29" ht="15.75" customHeight="1">
      <c r="C515" s="63"/>
      <c r="D515" s="63"/>
      <c r="E515" s="63"/>
      <c r="F515" s="63"/>
      <c r="G515" s="63"/>
      <c r="H515" s="63"/>
      <c r="I515" s="63"/>
      <c r="J515" s="63"/>
      <c r="K515" s="63"/>
      <c r="L515" s="63"/>
      <c r="M515" s="168"/>
      <c r="N515" s="63"/>
      <c r="O515" s="64"/>
      <c r="P515" s="64"/>
      <c r="Q515" s="64"/>
      <c r="R515" s="64"/>
      <c r="S515" s="64"/>
      <c r="T515" s="64"/>
      <c r="U515" s="64"/>
      <c r="V515" s="64"/>
      <c r="W515" s="64"/>
      <c r="X515" s="64"/>
      <c r="Y515" s="137"/>
      <c r="Z515" s="137"/>
      <c r="AA515" s="137"/>
      <c r="AB515" s="137"/>
      <c r="AC515" s="137"/>
    </row>
    <row r="516" spans="3:29" ht="15.75" customHeight="1">
      <c r="C516" s="63"/>
      <c r="D516" s="63"/>
      <c r="E516" s="63"/>
      <c r="F516" s="63"/>
      <c r="G516" s="63"/>
      <c r="H516" s="63"/>
      <c r="I516" s="63"/>
      <c r="J516" s="63"/>
      <c r="K516" s="63"/>
      <c r="L516" s="63"/>
      <c r="M516" s="168"/>
      <c r="N516" s="63"/>
      <c r="O516" s="64"/>
      <c r="P516" s="64"/>
      <c r="Q516" s="64"/>
      <c r="R516" s="64"/>
      <c r="S516" s="64"/>
      <c r="T516" s="64"/>
      <c r="U516" s="64"/>
      <c r="V516" s="64"/>
      <c r="W516" s="64"/>
      <c r="X516" s="64"/>
      <c r="Y516" s="137"/>
      <c r="Z516" s="137"/>
      <c r="AA516" s="137"/>
      <c r="AB516" s="137"/>
      <c r="AC516" s="137"/>
    </row>
    <row r="517" spans="3:29" ht="15.75" customHeight="1">
      <c r="C517" s="63"/>
      <c r="D517" s="63"/>
      <c r="E517" s="63"/>
      <c r="F517" s="63"/>
      <c r="G517" s="63"/>
      <c r="H517" s="63"/>
      <c r="I517" s="63"/>
      <c r="J517" s="63"/>
      <c r="K517" s="63"/>
      <c r="L517" s="63"/>
      <c r="M517" s="168"/>
      <c r="N517" s="63"/>
      <c r="O517" s="64"/>
      <c r="P517" s="64"/>
      <c r="Q517" s="64"/>
      <c r="R517" s="64"/>
      <c r="S517" s="64"/>
      <c r="T517" s="64"/>
      <c r="U517" s="64"/>
      <c r="V517" s="64"/>
      <c r="W517" s="64"/>
      <c r="X517" s="64"/>
      <c r="Y517" s="137"/>
      <c r="Z517" s="137"/>
      <c r="AA517" s="137"/>
      <c r="AB517" s="137"/>
      <c r="AC517" s="137"/>
    </row>
    <row r="518" spans="3:29" ht="15.75" customHeight="1">
      <c r="C518" s="63"/>
      <c r="D518" s="63"/>
      <c r="E518" s="63"/>
      <c r="F518" s="63"/>
      <c r="G518" s="63"/>
      <c r="H518" s="63"/>
      <c r="I518" s="63"/>
      <c r="J518" s="63"/>
      <c r="K518" s="63"/>
      <c r="L518" s="63"/>
      <c r="M518" s="168"/>
      <c r="N518" s="63"/>
      <c r="O518" s="64"/>
      <c r="P518" s="64"/>
      <c r="Q518" s="64"/>
      <c r="R518" s="64"/>
      <c r="S518" s="64"/>
      <c r="T518" s="64"/>
      <c r="U518" s="64"/>
      <c r="V518" s="64"/>
      <c r="W518" s="64"/>
      <c r="X518" s="64"/>
      <c r="Y518" s="137"/>
      <c r="Z518" s="137"/>
      <c r="AA518" s="137"/>
      <c r="AB518" s="137"/>
      <c r="AC518" s="137"/>
    </row>
    <row r="519" spans="3:29" ht="15.75" customHeight="1">
      <c r="C519" s="63"/>
      <c r="D519" s="63"/>
      <c r="E519" s="63"/>
      <c r="F519" s="63"/>
      <c r="G519" s="63"/>
      <c r="H519" s="63"/>
      <c r="I519" s="63"/>
      <c r="J519" s="63"/>
      <c r="K519" s="63"/>
      <c r="L519" s="63"/>
      <c r="M519" s="168"/>
      <c r="N519" s="63"/>
      <c r="O519" s="64"/>
      <c r="P519" s="64"/>
      <c r="Q519" s="64"/>
      <c r="R519" s="64"/>
      <c r="S519" s="64"/>
      <c r="T519" s="64"/>
      <c r="U519" s="64"/>
      <c r="V519" s="64"/>
      <c r="W519" s="64"/>
      <c r="X519" s="64"/>
      <c r="Y519" s="137"/>
      <c r="Z519" s="137"/>
      <c r="AA519" s="137"/>
      <c r="AB519" s="137"/>
      <c r="AC519" s="137"/>
    </row>
    <row r="520" spans="3:29" ht="15.75" customHeight="1">
      <c r="C520" s="63"/>
      <c r="D520" s="63"/>
      <c r="E520" s="63"/>
      <c r="F520" s="63"/>
      <c r="G520" s="63"/>
      <c r="H520" s="63"/>
      <c r="I520" s="63"/>
      <c r="J520" s="63"/>
      <c r="K520" s="63"/>
      <c r="L520" s="63"/>
      <c r="M520" s="168"/>
      <c r="N520" s="63"/>
      <c r="O520" s="64"/>
      <c r="P520" s="64"/>
      <c r="Q520" s="64"/>
      <c r="R520" s="64"/>
      <c r="S520" s="64"/>
      <c r="T520" s="64"/>
      <c r="U520" s="64"/>
      <c r="V520" s="64"/>
      <c r="W520" s="64"/>
      <c r="X520" s="64"/>
      <c r="Y520" s="137"/>
      <c r="Z520" s="137"/>
      <c r="AA520" s="137"/>
      <c r="AB520" s="137"/>
      <c r="AC520" s="137"/>
    </row>
    <row r="521" spans="3:29" ht="15.75" customHeight="1">
      <c r="C521" s="63"/>
      <c r="D521" s="63"/>
      <c r="E521" s="63"/>
      <c r="F521" s="63"/>
      <c r="G521" s="63"/>
      <c r="H521" s="63"/>
      <c r="I521" s="63"/>
      <c r="J521" s="63"/>
      <c r="K521" s="63"/>
      <c r="L521" s="63"/>
      <c r="M521" s="168"/>
      <c r="N521" s="63"/>
      <c r="O521" s="64"/>
      <c r="P521" s="64"/>
      <c r="Q521" s="64"/>
      <c r="R521" s="64"/>
      <c r="S521" s="64"/>
      <c r="T521" s="64"/>
      <c r="U521" s="64"/>
      <c r="V521" s="64"/>
      <c r="W521" s="64"/>
      <c r="X521" s="64"/>
      <c r="Y521" s="137"/>
      <c r="Z521" s="137"/>
      <c r="AA521" s="137"/>
      <c r="AB521" s="137"/>
      <c r="AC521" s="137"/>
    </row>
    <row r="522" spans="3:29" ht="15.75" customHeight="1">
      <c r="C522" s="63"/>
      <c r="D522" s="63"/>
      <c r="E522" s="63"/>
      <c r="F522" s="63"/>
      <c r="G522" s="63"/>
      <c r="H522" s="63"/>
      <c r="I522" s="63"/>
      <c r="J522" s="63"/>
      <c r="K522" s="63"/>
      <c r="L522" s="63"/>
      <c r="M522" s="168"/>
      <c r="N522" s="63"/>
      <c r="O522" s="64"/>
      <c r="P522" s="64"/>
      <c r="Q522" s="64"/>
      <c r="R522" s="64"/>
      <c r="S522" s="64"/>
      <c r="T522" s="64"/>
      <c r="U522" s="64"/>
      <c r="V522" s="64"/>
      <c r="W522" s="64"/>
      <c r="X522" s="64"/>
      <c r="Y522" s="137"/>
      <c r="Z522" s="137"/>
      <c r="AA522" s="137"/>
      <c r="AB522" s="137"/>
      <c r="AC522" s="137"/>
    </row>
    <row r="523" spans="3:29" ht="15.75" customHeight="1">
      <c r="C523" s="63"/>
      <c r="D523" s="63"/>
      <c r="E523" s="63"/>
      <c r="F523" s="63"/>
      <c r="G523" s="63"/>
      <c r="H523" s="63"/>
      <c r="I523" s="63"/>
      <c r="J523" s="63"/>
      <c r="K523" s="63"/>
      <c r="L523" s="63"/>
      <c r="M523" s="168"/>
      <c r="N523" s="63"/>
      <c r="O523" s="64"/>
      <c r="P523" s="64"/>
      <c r="Q523" s="64"/>
      <c r="R523" s="64"/>
      <c r="S523" s="64"/>
      <c r="T523" s="64"/>
      <c r="U523" s="64"/>
      <c r="V523" s="64"/>
      <c r="W523" s="64"/>
      <c r="X523" s="64"/>
      <c r="Y523" s="137"/>
      <c r="Z523" s="137"/>
      <c r="AA523" s="137"/>
      <c r="AB523" s="137"/>
      <c r="AC523" s="137"/>
    </row>
    <row r="524" spans="3:29" ht="15.75" customHeight="1">
      <c r="C524" s="63"/>
      <c r="D524" s="63"/>
      <c r="E524" s="63"/>
      <c r="F524" s="63"/>
      <c r="G524" s="63"/>
      <c r="H524" s="63"/>
      <c r="I524" s="63"/>
      <c r="J524" s="63"/>
      <c r="K524" s="63"/>
      <c r="L524" s="63"/>
      <c r="M524" s="168"/>
      <c r="N524" s="63"/>
      <c r="O524" s="64"/>
      <c r="P524" s="64"/>
      <c r="Q524" s="64"/>
      <c r="R524" s="64"/>
      <c r="S524" s="64"/>
      <c r="T524" s="64"/>
      <c r="U524" s="64"/>
      <c r="V524" s="64"/>
      <c r="W524" s="64"/>
      <c r="X524" s="64"/>
      <c r="Y524" s="137"/>
      <c r="Z524" s="137"/>
      <c r="AA524" s="137"/>
      <c r="AB524" s="137"/>
      <c r="AC524" s="137"/>
    </row>
    <row r="525" spans="3:29" ht="15.75" customHeight="1">
      <c r="C525" s="63"/>
      <c r="D525" s="63"/>
      <c r="E525" s="63"/>
      <c r="F525" s="63"/>
      <c r="G525" s="63"/>
      <c r="H525" s="63"/>
      <c r="I525" s="63"/>
      <c r="J525" s="63"/>
      <c r="K525" s="63"/>
      <c r="L525" s="63"/>
      <c r="M525" s="168"/>
      <c r="N525" s="63"/>
      <c r="O525" s="64"/>
      <c r="P525" s="64"/>
      <c r="Q525" s="64"/>
      <c r="R525" s="64"/>
      <c r="S525" s="64"/>
      <c r="T525" s="64"/>
      <c r="U525" s="64"/>
      <c r="V525" s="64"/>
      <c r="W525" s="64"/>
      <c r="X525" s="64"/>
      <c r="Y525" s="137"/>
      <c r="Z525" s="137"/>
      <c r="AA525" s="137"/>
      <c r="AB525" s="137"/>
      <c r="AC525" s="137"/>
    </row>
    <row r="526" spans="3:29" ht="15.75" customHeight="1">
      <c r="C526" s="63"/>
      <c r="D526" s="63"/>
      <c r="E526" s="63"/>
      <c r="F526" s="63"/>
      <c r="G526" s="63"/>
      <c r="H526" s="63"/>
      <c r="I526" s="63"/>
      <c r="J526" s="63"/>
      <c r="K526" s="63"/>
      <c r="L526" s="63"/>
      <c r="M526" s="168"/>
      <c r="N526" s="63"/>
      <c r="O526" s="64"/>
      <c r="P526" s="64"/>
      <c r="Q526" s="64"/>
      <c r="R526" s="64"/>
      <c r="S526" s="64"/>
      <c r="T526" s="64"/>
      <c r="U526" s="64"/>
      <c r="V526" s="64"/>
      <c r="W526" s="64"/>
      <c r="X526" s="64"/>
      <c r="Y526" s="137"/>
      <c r="Z526" s="137"/>
      <c r="AA526" s="137"/>
      <c r="AB526" s="137"/>
      <c r="AC526" s="137"/>
    </row>
    <row r="527" spans="3:29" ht="15.75" customHeight="1">
      <c r="C527" s="63"/>
      <c r="D527" s="63"/>
      <c r="E527" s="63"/>
      <c r="F527" s="63"/>
      <c r="G527" s="63"/>
      <c r="H527" s="63"/>
      <c r="I527" s="63"/>
      <c r="J527" s="63"/>
      <c r="K527" s="63"/>
      <c r="L527" s="63"/>
      <c r="M527" s="168"/>
      <c r="N527" s="63"/>
      <c r="O527" s="64"/>
      <c r="P527" s="64"/>
      <c r="Q527" s="64"/>
      <c r="R527" s="64"/>
      <c r="S527" s="64"/>
      <c r="T527" s="64"/>
      <c r="U527" s="64"/>
      <c r="V527" s="64"/>
      <c r="W527" s="64"/>
      <c r="X527" s="64"/>
      <c r="Y527" s="137"/>
      <c r="Z527" s="137"/>
      <c r="AA527" s="137"/>
      <c r="AB527" s="137"/>
      <c r="AC527" s="137"/>
    </row>
    <row r="528" spans="3:29" ht="15.75" customHeight="1">
      <c r="C528" s="63"/>
      <c r="D528" s="63"/>
      <c r="E528" s="63"/>
      <c r="F528" s="63"/>
      <c r="G528" s="63"/>
      <c r="H528" s="63"/>
      <c r="I528" s="63"/>
      <c r="J528" s="63"/>
      <c r="K528" s="63"/>
      <c r="L528" s="63"/>
      <c r="M528" s="168"/>
      <c r="N528" s="63"/>
      <c r="O528" s="64"/>
      <c r="P528" s="64"/>
      <c r="Q528" s="64"/>
      <c r="R528" s="64"/>
      <c r="S528" s="64"/>
      <c r="T528" s="64"/>
      <c r="U528" s="64"/>
      <c r="V528" s="64"/>
      <c r="W528" s="64"/>
      <c r="X528" s="64"/>
      <c r="Y528" s="137"/>
      <c r="Z528" s="137"/>
      <c r="AA528" s="137"/>
      <c r="AB528" s="137"/>
      <c r="AC528" s="137"/>
    </row>
    <row r="529" spans="3:29" ht="15.75" customHeight="1">
      <c r="C529" s="63"/>
      <c r="D529" s="63"/>
      <c r="E529" s="63"/>
      <c r="F529" s="63"/>
      <c r="G529" s="63"/>
      <c r="H529" s="63"/>
      <c r="I529" s="63"/>
      <c r="J529" s="63"/>
      <c r="K529" s="63"/>
      <c r="L529" s="63"/>
      <c r="M529" s="168"/>
      <c r="N529" s="63"/>
      <c r="O529" s="64"/>
      <c r="P529" s="64"/>
      <c r="Q529" s="64"/>
      <c r="R529" s="64"/>
      <c r="S529" s="64"/>
      <c r="T529" s="64"/>
      <c r="U529" s="64"/>
      <c r="V529" s="64"/>
      <c r="W529" s="64"/>
      <c r="X529" s="64"/>
      <c r="Y529" s="137"/>
      <c r="Z529" s="137"/>
      <c r="AA529" s="137"/>
      <c r="AB529" s="137"/>
      <c r="AC529" s="137"/>
    </row>
    <row r="530" spans="3:29" ht="15.75" customHeight="1">
      <c r="C530" s="63"/>
      <c r="D530" s="63"/>
      <c r="E530" s="63"/>
      <c r="F530" s="63"/>
      <c r="G530" s="63"/>
      <c r="H530" s="63"/>
      <c r="I530" s="63"/>
      <c r="J530" s="63"/>
      <c r="K530" s="63"/>
      <c r="L530" s="63"/>
      <c r="M530" s="168"/>
      <c r="N530" s="63"/>
      <c r="O530" s="64"/>
      <c r="P530" s="64"/>
      <c r="Q530" s="64"/>
      <c r="R530" s="64"/>
      <c r="S530" s="64"/>
      <c r="T530" s="64"/>
      <c r="U530" s="64"/>
      <c r="V530" s="64"/>
      <c r="W530" s="64"/>
      <c r="X530" s="64"/>
      <c r="Y530" s="137"/>
      <c r="Z530" s="137"/>
      <c r="AA530" s="137"/>
      <c r="AB530" s="137"/>
      <c r="AC530" s="137"/>
    </row>
    <row r="531" spans="3:29" ht="15.75" customHeight="1">
      <c r="C531" s="63"/>
      <c r="D531" s="63"/>
      <c r="E531" s="63"/>
      <c r="F531" s="63"/>
      <c r="G531" s="63"/>
      <c r="H531" s="63"/>
      <c r="I531" s="63"/>
      <c r="J531" s="63"/>
      <c r="K531" s="63"/>
      <c r="L531" s="63"/>
      <c r="M531" s="168"/>
      <c r="N531" s="63"/>
      <c r="O531" s="64"/>
      <c r="P531" s="64"/>
      <c r="Q531" s="64"/>
      <c r="R531" s="64"/>
      <c r="S531" s="64"/>
      <c r="T531" s="64"/>
      <c r="U531" s="64"/>
      <c r="V531" s="64"/>
      <c r="W531" s="64"/>
      <c r="X531" s="64"/>
      <c r="Y531" s="137"/>
      <c r="Z531" s="137"/>
      <c r="AA531" s="137"/>
      <c r="AB531" s="137"/>
      <c r="AC531" s="137"/>
    </row>
    <row r="532" spans="3:29" ht="15.75" customHeight="1">
      <c r="C532" s="63"/>
      <c r="D532" s="63"/>
      <c r="E532" s="63"/>
      <c r="F532" s="63"/>
      <c r="G532" s="63"/>
      <c r="H532" s="63"/>
      <c r="I532" s="63"/>
      <c r="J532" s="63"/>
      <c r="K532" s="63"/>
      <c r="L532" s="63"/>
      <c r="M532" s="168"/>
      <c r="N532" s="63"/>
      <c r="O532" s="64"/>
      <c r="P532" s="64"/>
      <c r="Q532" s="64"/>
      <c r="R532" s="64"/>
      <c r="S532" s="64"/>
      <c r="T532" s="64"/>
      <c r="U532" s="64"/>
      <c r="V532" s="64"/>
      <c r="W532" s="64"/>
      <c r="X532" s="64"/>
      <c r="Y532" s="137"/>
      <c r="Z532" s="137"/>
      <c r="AA532" s="137"/>
      <c r="AB532" s="137"/>
      <c r="AC532" s="137"/>
    </row>
    <row r="533" spans="3:29" ht="15.75" customHeight="1">
      <c r="C533" s="63"/>
      <c r="D533" s="63"/>
      <c r="E533" s="63"/>
      <c r="F533" s="63"/>
      <c r="G533" s="63"/>
      <c r="H533" s="63"/>
      <c r="I533" s="63"/>
      <c r="J533" s="63"/>
      <c r="K533" s="63"/>
      <c r="L533" s="63"/>
      <c r="M533" s="168"/>
      <c r="N533" s="63"/>
      <c r="O533" s="64"/>
      <c r="P533" s="64"/>
      <c r="Q533" s="64"/>
      <c r="R533" s="64"/>
      <c r="S533" s="64"/>
      <c r="T533" s="64"/>
      <c r="U533" s="64"/>
      <c r="V533" s="64"/>
      <c r="W533" s="64"/>
      <c r="X533" s="64"/>
      <c r="Y533" s="137"/>
      <c r="Z533" s="137"/>
      <c r="AA533" s="137"/>
      <c r="AB533" s="137"/>
      <c r="AC533" s="137"/>
    </row>
    <row r="534" spans="3:29" ht="15.75" customHeight="1">
      <c r="C534" s="63"/>
      <c r="D534" s="63"/>
      <c r="E534" s="63"/>
      <c r="F534" s="63"/>
      <c r="G534" s="63"/>
      <c r="H534" s="63"/>
      <c r="I534" s="63"/>
      <c r="J534" s="63"/>
      <c r="K534" s="63"/>
      <c r="L534" s="63"/>
      <c r="M534" s="168"/>
      <c r="N534" s="63"/>
      <c r="O534" s="64"/>
      <c r="P534" s="64"/>
      <c r="Q534" s="64"/>
      <c r="R534" s="64"/>
      <c r="S534" s="64"/>
      <c r="T534" s="64"/>
      <c r="U534" s="64"/>
      <c r="V534" s="64"/>
      <c r="W534" s="64"/>
      <c r="X534" s="64"/>
      <c r="Y534" s="137"/>
      <c r="Z534" s="137"/>
      <c r="AA534" s="137"/>
      <c r="AB534" s="137"/>
      <c r="AC534" s="137"/>
    </row>
    <row r="535" spans="3:29" ht="15.75" customHeight="1">
      <c r="C535" s="63"/>
      <c r="D535" s="63"/>
      <c r="E535" s="63"/>
      <c r="F535" s="63"/>
      <c r="G535" s="63"/>
      <c r="H535" s="63"/>
      <c r="I535" s="63"/>
      <c r="J535" s="63"/>
      <c r="K535" s="63"/>
      <c r="L535" s="63"/>
      <c r="M535" s="168"/>
      <c r="N535" s="63"/>
      <c r="O535" s="64"/>
      <c r="P535" s="64"/>
      <c r="Q535" s="64"/>
      <c r="R535" s="64"/>
      <c r="S535" s="64"/>
      <c r="T535" s="64"/>
      <c r="U535" s="64"/>
      <c r="V535" s="64"/>
      <c r="W535" s="64"/>
      <c r="X535" s="64"/>
      <c r="Y535" s="137"/>
      <c r="Z535" s="137"/>
      <c r="AA535" s="137"/>
      <c r="AB535" s="137"/>
      <c r="AC535" s="137"/>
    </row>
    <row r="536" spans="3:29" ht="15.75" customHeight="1">
      <c r="C536" s="63"/>
      <c r="D536" s="63"/>
      <c r="E536" s="63"/>
      <c r="F536" s="63"/>
      <c r="G536" s="63"/>
      <c r="H536" s="63"/>
      <c r="I536" s="63"/>
      <c r="J536" s="63"/>
      <c r="K536" s="63"/>
      <c r="L536" s="63"/>
      <c r="M536" s="168"/>
      <c r="N536" s="63"/>
      <c r="O536" s="64"/>
      <c r="P536" s="64"/>
      <c r="Q536" s="64"/>
      <c r="R536" s="64"/>
      <c r="S536" s="64"/>
      <c r="T536" s="64"/>
      <c r="U536" s="64"/>
      <c r="V536" s="64"/>
      <c r="W536" s="64"/>
      <c r="X536" s="64"/>
      <c r="Y536" s="137"/>
      <c r="Z536" s="137"/>
      <c r="AA536" s="137"/>
      <c r="AB536" s="137"/>
      <c r="AC536" s="137"/>
    </row>
    <row r="537" spans="3:29" ht="15.75" customHeight="1">
      <c r="C537" s="63"/>
      <c r="D537" s="63"/>
      <c r="E537" s="63"/>
      <c r="F537" s="63"/>
      <c r="G537" s="63"/>
      <c r="H537" s="63"/>
      <c r="I537" s="63"/>
      <c r="J537" s="63"/>
      <c r="K537" s="63"/>
      <c r="L537" s="63"/>
      <c r="M537" s="168"/>
      <c r="N537" s="63"/>
      <c r="O537" s="64"/>
      <c r="P537" s="64"/>
      <c r="Q537" s="64"/>
      <c r="R537" s="64"/>
      <c r="S537" s="64"/>
      <c r="T537" s="64"/>
      <c r="U537" s="64"/>
      <c r="V537" s="64"/>
      <c r="W537" s="64"/>
      <c r="X537" s="64"/>
      <c r="Y537" s="137"/>
      <c r="Z537" s="137"/>
      <c r="AA537" s="137"/>
      <c r="AB537" s="137"/>
      <c r="AC537" s="137"/>
    </row>
    <row r="538" spans="3:29" ht="15.75" customHeight="1">
      <c r="C538" s="63"/>
      <c r="D538" s="63"/>
      <c r="E538" s="63"/>
      <c r="F538" s="63"/>
      <c r="G538" s="63"/>
      <c r="H538" s="63"/>
      <c r="I538" s="63"/>
      <c r="J538" s="63"/>
      <c r="K538" s="63"/>
      <c r="L538" s="63"/>
      <c r="M538" s="168"/>
      <c r="N538" s="63"/>
      <c r="O538" s="64"/>
      <c r="P538" s="64"/>
      <c r="Q538" s="64"/>
      <c r="R538" s="64"/>
      <c r="S538" s="64"/>
      <c r="T538" s="64"/>
      <c r="U538" s="64"/>
      <c r="V538" s="64"/>
      <c r="W538" s="64"/>
      <c r="X538" s="64"/>
      <c r="Y538" s="137"/>
      <c r="Z538" s="137"/>
      <c r="AA538" s="137"/>
      <c r="AB538" s="137"/>
      <c r="AC538" s="137"/>
    </row>
    <row r="539" spans="3:29" ht="15.75" customHeight="1">
      <c r="C539" s="63"/>
      <c r="D539" s="63"/>
      <c r="E539" s="63"/>
      <c r="F539" s="63"/>
      <c r="G539" s="63"/>
      <c r="H539" s="63"/>
      <c r="I539" s="63"/>
      <c r="J539" s="63"/>
      <c r="K539" s="63"/>
      <c r="L539" s="63"/>
      <c r="M539" s="168"/>
      <c r="N539" s="63"/>
      <c r="O539" s="64"/>
      <c r="P539" s="64"/>
      <c r="Q539" s="64"/>
      <c r="R539" s="64"/>
      <c r="S539" s="64"/>
      <c r="T539" s="64"/>
      <c r="U539" s="64"/>
      <c r="V539" s="64"/>
      <c r="W539" s="64"/>
      <c r="X539" s="64"/>
      <c r="Y539" s="137"/>
      <c r="Z539" s="137"/>
      <c r="AA539" s="137"/>
      <c r="AB539" s="137"/>
      <c r="AC539" s="137"/>
    </row>
    <row r="540" spans="3:29" ht="15.75" customHeight="1">
      <c r="C540" s="63"/>
      <c r="D540" s="63"/>
      <c r="E540" s="63"/>
      <c r="F540" s="63"/>
      <c r="G540" s="63"/>
      <c r="H540" s="63"/>
      <c r="I540" s="63"/>
      <c r="J540" s="63"/>
      <c r="K540" s="63"/>
      <c r="L540" s="63"/>
      <c r="M540" s="168"/>
      <c r="N540" s="63"/>
      <c r="O540" s="64"/>
      <c r="P540" s="64"/>
      <c r="Q540" s="64"/>
      <c r="R540" s="64"/>
      <c r="S540" s="64"/>
      <c r="T540" s="64"/>
      <c r="U540" s="64"/>
      <c r="V540" s="64"/>
      <c r="W540" s="64"/>
      <c r="X540" s="64"/>
      <c r="Y540" s="137"/>
      <c r="Z540" s="137"/>
      <c r="AA540" s="137"/>
      <c r="AB540" s="137"/>
      <c r="AC540" s="137"/>
    </row>
    <row r="541" spans="3:29" ht="15.75" customHeight="1">
      <c r="C541" s="63"/>
      <c r="D541" s="63"/>
      <c r="E541" s="63"/>
      <c r="F541" s="63"/>
      <c r="G541" s="63"/>
      <c r="H541" s="63"/>
      <c r="I541" s="63"/>
      <c r="J541" s="63"/>
      <c r="K541" s="63"/>
      <c r="L541" s="63"/>
      <c r="M541" s="168"/>
      <c r="N541" s="63"/>
      <c r="O541" s="64"/>
      <c r="P541" s="64"/>
      <c r="Q541" s="64"/>
      <c r="R541" s="64"/>
      <c r="S541" s="64"/>
      <c r="T541" s="64"/>
      <c r="U541" s="64"/>
      <c r="V541" s="64"/>
      <c r="W541" s="64"/>
      <c r="X541" s="64"/>
      <c r="Y541" s="137"/>
      <c r="Z541" s="137"/>
      <c r="AA541" s="137"/>
      <c r="AB541" s="137"/>
      <c r="AC541" s="137"/>
    </row>
    <row r="542" spans="3:29" ht="15.75" customHeight="1">
      <c r="C542" s="63"/>
      <c r="D542" s="63"/>
      <c r="E542" s="63"/>
      <c r="F542" s="63"/>
      <c r="G542" s="63"/>
      <c r="H542" s="63"/>
      <c r="I542" s="63"/>
      <c r="J542" s="63"/>
      <c r="K542" s="63"/>
      <c r="L542" s="63"/>
      <c r="M542" s="168"/>
      <c r="N542" s="63"/>
      <c r="O542" s="64"/>
      <c r="P542" s="64"/>
      <c r="Q542" s="64"/>
      <c r="R542" s="64"/>
      <c r="S542" s="64"/>
      <c r="T542" s="64"/>
      <c r="U542" s="64"/>
      <c r="V542" s="64"/>
      <c r="W542" s="64"/>
      <c r="X542" s="64"/>
      <c r="Y542" s="137"/>
      <c r="Z542" s="137"/>
      <c r="AA542" s="137"/>
      <c r="AB542" s="137"/>
      <c r="AC542" s="137"/>
    </row>
    <row r="543" spans="3:29" ht="15.75" customHeight="1">
      <c r="C543" s="63"/>
      <c r="D543" s="63"/>
      <c r="E543" s="63"/>
      <c r="F543" s="63"/>
      <c r="G543" s="63"/>
      <c r="H543" s="63"/>
      <c r="I543" s="63"/>
      <c r="J543" s="63"/>
      <c r="K543" s="63"/>
      <c r="L543" s="63"/>
      <c r="M543" s="168"/>
      <c r="N543" s="63"/>
      <c r="O543" s="64"/>
      <c r="P543" s="64"/>
      <c r="Q543" s="64"/>
      <c r="R543" s="64"/>
      <c r="S543" s="64"/>
      <c r="T543" s="64"/>
      <c r="U543" s="64"/>
      <c r="V543" s="64"/>
      <c r="W543" s="64"/>
      <c r="X543" s="64"/>
      <c r="Y543" s="137"/>
      <c r="Z543" s="137"/>
      <c r="AA543" s="137"/>
      <c r="AB543" s="137"/>
      <c r="AC543" s="137"/>
    </row>
    <row r="544" spans="3:29" ht="15.75" customHeight="1">
      <c r="C544" s="63"/>
      <c r="D544" s="63"/>
      <c r="E544" s="63"/>
      <c r="F544" s="63"/>
      <c r="G544" s="63"/>
      <c r="H544" s="63"/>
      <c r="I544" s="63"/>
      <c r="J544" s="63"/>
      <c r="K544" s="63"/>
      <c r="L544" s="63"/>
      <c r="M544" s="168"/>
      <c r="N544" s="63"/>
      <c r="O544" s="64"/>
      <c r="P544" s="64"/>
      <c r="Q544" s="64"/>
      <c r="R544" s="64"/>
      <c r="S544" s="64"/>
      <c r="T544" s="64"/>
      <c r="U544" s="64"/>
      <c r="V544" s="64"/>
      <c r="W544" s="64"/>
      <c r="X544" s="64"/>
      <c r="Y544" s="137"/>
      <c r="Z544" s="137"/>
      <c r="AA544" s="137"/>
      <c r="AB544" s="137"/>
      <c r="AC544" s="137"/>
    </row>
    <row r="545" spans="3:29" ht="15.75" customHeight="1">
      <c r="C545" s="63"/>
      <c r="D545" s="63"/>
      <c r="E545" s="63"/>
      <c r="F545" s="63"/>
      <c r="G545" s="63"/>
      <c r="H545" s="63"/>
      <c r="I545" s="63"/>
      <c r="J545" s="63"/>
      <c r="K545" s="63"/>
      <c r="L545" s="63"/>
      <c r="M545" s="168"/>
      <c r="N545" s="63"/>
      <c r="O545" s="64"/>
      <c r="P545" s="64"/>
      <c r="Q545" s="64"/>
      <c r="R545" s="64"/>
      <c r="S545" s="64"/>
      <c r="T545" s="64"/>
      <c r="U545" s="64"/>
      <c r="V545" s="64"/>
      <c r="W545" s="64"/>
      <c r="X545" s="64"/>
      <c r="Y545" s="137"/>
      <c r="Z545" s="137"/>
      <c r="AA545" s="137"/>
      <c r="AB545" s="137"/>
      <c r="AC545" s="137"/>
    </row>
    <row r="546" spans="3:29" ht="15.75" customHeight="1">
      <c r="C546" s="63"/>
      <c r="D546" s="63"/>
      <c r="E546" s="63"/>
      <c r="F546" s="63"/>
      <c r="G546" s="63"/>
      <c r="H546" s="63"/>
      <c r="I546" s="63"/>
      <c r="J546" s="63"/>
      <c r="K546" s="63"/>
      <c r="L546" s="63"/>
      <c r="M546" s="168"/>
      <c r="N546" s="63"/>
      <c r="O546" s="64"/>
      <c r="P546" s="64"/>
      <c r="Q546" s="64"/>
      <c r="R546" s="64"/>
      <c r="S546" s="64"/>
      <c r="T546" s="64"/>
      <c r="U546" s="64"/>
      <c r="V546" s="64"/>
      <c r="W546" s="64"/>
      <c r="X546" s="64"/>
      <c r="Y546" s="137"/>
      <c r="Z546" s="137"/>
      <c r="AA546" s="137"/>
      <c r="AB546" s="137"/>
      <c r="AC546" s="137"/>
    </row>
    <row r="547" spans="3:29" ht="15.75" customHeight="1">
      <c r="C547" s="63"/>
      <c r="D547" s="63"/>
      <c r="E547" s="63"/>
      <c r="F547" s="63"/>
      <c r="G547" s="63"/>
      <c r="H547" s="63"/>
      <c r="I547" s="63"/>
      <c r="J547" s="63"/>
      <c r="K547" s="63"/>
      <c r="L547" s="63"/>
      <c r="M547" s="168"/>
      <c r="N547" s="63"/>
      <c r="O547" s="64"/>
      <c r="P547" s="64"/>
      <c r="Q547" s="64"/>
      <c r="R547" s="64"/>
      <c r="S547" s="64"/>
      <c r="T547" s="64"/>
      <c r="U547" s="64"/>
      <c r="V547" s="64"/>
      <c r="W547" s="64"/>
      <c r="X547" s="64"/>
      <c r="Y547" s="137"/>
      <c r="Z547" s="137"/>
      <c r="AA547" s="137"/>
      <c r="AB547" s="137"/>
      <c r="AC547" s="137"/>
    </row>
    <row r="548" spans="3:29" ht="15.75" customHeight="1">
      <c r="C548" s="63"/>
      <c r="D548" s="63"/>
      <c r="E548" s="63"/>
      <c r="F548" s="63"/>
      <c r="G548" s="63"/>
      <c r="H548" s="63"/>
      <c r="I548" s="63"/>
      <c r="J548" s="63"/>
      <c r="K548" s="63"/>
      <c r="L548" s="63"/>
      <c r="M548" s="168"/>
      <c r="N548" s="63"/>
      <c r="O548" s="64"/>
      <c r="P548" s="64"/>
      <c r="Q548" s="64"/>
      <c r="R548" s="64"/>
      <c r="S548" s="64"/>
      <c r="T548" s="64"/>
      <c r="U548" s="64"/>
      <c r="V548" s="64"/>
      <c r="W548" s="64"/>
      <c r="X548" s="64"/>
      <c r="Y548" s="137"/>
      <c r="Z548" s="137"/>
      <c r="AA548" s="137"/>
      <c r="AB548" s="137"/>
      <c r="AC548" s="137"/>
    </row>
    <row r="549" spans="3:29" ht="15.75" customHeight="1">
      <c r="C549" s="63"/>
      <c r="D549" s="63"/>
      <c r="E549" s="63"/>
      <c r="F549" s="63"/>
      <c r="G549" s="63"/>
      <c r="H549" s="63"/>
      <c r="I549" s="63"/>
      <c r="J549" s="63"/>
      <c r="K549" s="63"/>
      <c r="L549" s="63"/>
      <c r="M549" s="168"/>
      <c r="N549" s="63"/>
      <c r="O549" s="64"/>
      <c r="P549" s="64"/>
      <c r="Q549" s="64"/>
      <c r="R549" s="64"/>
      <c r="S549" s="64"/>
      <c r="T549" s="64"/>
      <c r="U549" s="64"/>
      <c r="V549" s="64"/>
      <c r="W549" s="64"/>
      <c r="X549" s="64"/>
      <c r="Y549" s="137"/>
      <c r="Z549" s="137"/>
      <c r="AA549" s="137"/>
      <c r="AB549" s="137"/>
      <c r="AC549" s="137"/>
    </row>
    <row r="550" spans="3:29" ht="15.75" customHeight="1">
      <c r="C550" s="63"/>
      <c r="D550" s="63"/>
      <c r="E550" s="63"/>
      <c r="F550" s="63"/>
      <c r="G550" s="63"/>
      <c r="H550" s="63"/>
      <c r="I550" s="63"/>
      <c r="J550" s="63"/>
      <c r="K550" s="63"/>
      <c r="L550" s="63"/>
      <c r="M550" s="168"/>
      <c r="N550" s="63"/>
      <c r="O550" s="64"/>
      <c r="P550" s="64"/>
      <c r="Q550" s="64"/>
      <c r="R550" s="64"/>
      <c r="S550" s="64"/>
      <c r="T550" s="64"/>
      <c r="U550" s="64"/>
      <c r="V550" s="64"/>
      <c r="W550" s="64"/>
      <c r="X550" s="64"/>
      <c r="Y550" s="137"/>
      <c r="Z550" s="137"/>
      <c r="AA550" s="137"/>
      <c r="AB550" s="137"/>
      <c r="AC550" s="137"/>
    </row>
    <row r="551" spans="3:29" ht="15.75" customHeight="1">
      <c r="C551" s="63"/>
      <c r="D551" s="63"/>
      <c r="E551" s="63"/>
      <c r="F551" s="63"/>
      <c r="G551" s="63"/>
      <c r="H551" s="63"/>
      <c r="I551" s="63"/>
      <c r="J551" s="63"/>
      <c r="K551" s="63"/>
      <c r="L551" s="63"/>
      <c r="M551" s="168"/>
      <c r="N551" s="63"/>
      <c r="O551" s="64"/>
      <c r="P551" s="64"/>
      <c r="Q551" s="64"/>
      <c r="R551" s="64"/>
      <c r="S551" s="64"/>
      <c r="T551" s="64"/>
      <c r="U551" s="64"/>
      <c r="V551" s="64"/>
      <c r="W551" s="64"/>
      <c r="X551" s="64"/>
      <c r="Y551" s="137"/>
      <c r="Z551" s="137"/>
      <c r="AA551" s="137"/>
      <c r="AB551" s="137"/>
      <c r="AC551" s="137"/>
    </row>
    <row r="552" spans="3:29" ht="15.75" customHeight="1">
      <c r="C552" s="63"/>
      <c r="D552" s="63"/>
      <c r="E552" s="63"/>
      <c r="F552" s="63"/>
      <c r="G552" s="63"/>
      <c r="H552" s="63"/>
      <c r="I552" s="63"/>
      <c r="J552" s="63"/>
      <c r="K552" s="63"/>
      <c r="L552" s="63"/>
      <c r="M552" s="168"/>
      <c r="N552" s="63"/>
      <c r="O552" s="64"/>
      <c r="P552" s="64"/>
      <c r="Q552" s="64"/>
      <c r="R552" s="64"/>
      <c r="S552" s="64"/>
      <c r="T552" s="64"/>
      <c r="U552" s="64"/>
      <c r="V552" s="64"/>
      <c r="W552" s="64"/>
      <c r="X552" s="64"/>
      <c r="Y552" s="137"/>
      <c r="Z552" s="137"/>
      <c r="AA552" s="137"/>
      <c r="AB552" s="137"/>
      <c r="AC552" s="137"/>
    </row>
    <row r="553" spans="3:29" ht="15.75" customHeight="1">
      <c r="C553" s="63"/>
      <c r="D553" s="63"/>
      <c r="E553" s="63"/>
      <c r="F553" s="63"/>
      <c r="G553" s="63"/>
      <c r="H553" s="63"/>
      <c r="I553" s="63"/>
      <c r="J553" s="63"/>
      <c r="K553" s="63"/>
      <c r="L553" s="63"/>
      <c r="M553" s="168"/>
      <c r="N553" s="63"/>
      <c r="O553" s="64"/>
      <c r="P553" s="64"/>
      <c r="Q553" s="64"/>
      <c r="R553" s="64"/>
      <c r="S553" s="64"/>
      <c r="T553" s="64"/>
      <c r="U553" s="64"/>
      <c r="V553" s="64"/>
      <c r="W553" s="64"/>
      <c r="X553" s="64"/>
      <c r="Y553" s="137"/>
      <c r="Z553" s="137"/>
      <c r="AA553" s="137"/>
      <c r="AB553" s="137"/>
      <c r="AC553" s="137"/>
    </row>
    <row r="554" spans="3:29" ht="15.75" customHeight="1">
      <c r="C554" s="63"/>
      <c r="D554" s="63"/>
      <c r="E554" s="63"/>
      <c r="F554" s="63"/>
      <c r="G554" s="63"/>
      <c r="H554" s="63"/>
      <c r="I554" s="63"/>
      <c r="J554" s="63"/>
      <c r="K554" s="63"/>
      <c r="L554" s="63"/>
      <c r="M554" s="168"/>
      <c r="N554" s="63"/>
      <c r="O554" s="64"/>
      <c r="P554" s="64"/>
      <c r="Q554" s="64"/>
      <c r="R554" s="64"/>
      <c r="S554" s="64"/>
      <c r="T554" s="64"/>
      <c r="U554" s="64"/>
      <c r="V554" s="64"/>
      <c r="W554" s="64"/>
      <c r="X554" s="64"/>
      <c r="Y554" s="137"/>
      <c r="Z554" s="137"/>
      <c r="AA554" s="137"/>
      <c r="AB554" s="137"/>
      <c r="AC554" s="137"/>
    </row>
    <row r="555" spans="3:29" ht="15.75" customHeight="1">
      <c r="C555" s="63"/>
      <c r="D555" s="63"/>
      <c r="E555" s="63"/>
      <c r="F555" s="63"/>
      <c r="G555" s="63"/>
      <c r="H555" s="63"/>
      <c r="I555" s="63"/>
      <c r="J555" s="63"/>
      <c r="K555" s="63"/>
      <c r="L555" s="63"/>
      <c r="M555" s="168"/>
      <c r="N555" s="63"/>
      <c r="O555" s="64"/>
      <c r="P555" s="64"/>
      <c r="Q555" s="64"/>
      <c r="R555" s="64"/>
      <c r="S555" s="64"/>
      <c r="T555" s="64"/>
      <c r="U555" s="64"/>
      <c r="V555" s="64"/>
      <c r="W555" s="64"/>
      <c r="X555" s="64"/>
      <c r="Y555" s="137"/>
      <c r="Z555" s="137"/>
      <c r="AA555" s="137"/>
      <c r="AB555" s="137"/>
      <c r="AC555" s="137"/>
    </row>
    <row r="556" spans="3:29" ht="15.75" customHeight="1">
      <c r="C556" s="63"/>
      <c r="D556" s="63"/>
      <c r="E556" s="63"/>
      <c r="F556" s="63"/>
      <c r="G556" s="63"/>
      <c r="H556" s="63"/>
      <c r="I556" s="63"/>
      <c r="J556" s="63"/>
      <c r="K556" s="63"/>
      <c r="L556" s="63"/>
      <c r="M556" s="168"/>
      <c r="N556" s="63"/>
      <c r="O556" s="64"/>
      <c r="P556" s="64"/>
      <c r="Q556" s="64"/>
      <c r="R556" s="64"/>
      <c r="S556" s="64"/>
      <c r="T556" s="64"/>
      <c r="U556" s="64"/>
      <c r="V556" s="64"/>
      <c r="W556" s="64"/>
      <c r="X556" s="64"/>
      <c r="Y556" s="137"/>
      <c r="Z556" s="137"/>
      <c r="AA556" s="137"/>
      <c r="AB556" s="137"/>
      <c r="AC556" s="137"/>
    </row>
    <row r="557" spans="3:29" ht="15.75" customHeight="1">
      <c r="C557" s="63"/>
      <c r="D557" s="63"/>
      <c r="E557" s="63"/>
      <c r="F557" s="63"/>
      <c r="G557" s="63"/>
      <c r="H557" s="63"/>
      <c r="I557" s="63"/>
      <c r="J557" s="63"/>
      <c r="K557" s="63"/>
      <c r="L557" s="63"/>
      <c r="M557" s="168"/>
      <c r="N557" s="63"/>
      <c r="O557" s="64"/>
      <c r="P557" s="64"/>
      <c r="Q557" s="64"/>
      <c r="R557" s="64"/>
      <c r="S557" s="64"/>
      <c r="T557" s="64"/>
      <c r="U557" s="64"/>
      <c r="V557" s="64"/>
      <c r="W557" s="64"/>
      <c r="X557" s="64"/>
      <c r="Y557" s="137"/>
      <c r="Z557" s="137"/>
      <c r="AA557" s="137"/>
      <c r="AB557" s="137"/>
      <c r="AC557" s="137"/>
    </row>
    <row r="558" spans="3:29" ht="15.75" customHeight="1">
      <c r="C558" s="63"/>
      <c r="D558" s="63"/>
      <c r="E558" s="63"/>
      <c r="F558" s="63"/>
      <c r="G558" s="63"/>
      <c r="H558" s="63"/>
      <c r="I558" s="63"/>
      <c r="J558" s="63"/>
      <c r="K558" s="63"/>
      <c r="L558" s="63"/>
      <c r="M558" s="168"/>
      <c r="N558" s="63"/>
      <c r="O558" s="64"/>
      <c r="P558" s="64"/>
      <c r="Q558" s="64"/>
      <c r="R558" s="64"/>
      <c r="S558" s="64"/>
      <c r="T558" s="64"/>
      <c r="U558" s="64"/>
      <c r="V558" s="64"/>
      <c r="W558" s="64"/>
      <c r="X558" s="64"/>
      <c r="Y558" s="137"/>
      <c r="Z558" s="137"/>
      <c r="AA558" s="137"/>
      <c r="AB558" s="137"/>
      <c r="AC558" s="137"/>
    </row>
    <row r="559" spans="3:29" ht="15.75" customHeight="1">
      <c r="C559" s="63"/>
      <c r="D559" s="63"/>
      <c r="E559" s="63"/>
      <c r="F559" s="63"/>
      <c r="G559" s="63"/>
      <c r="H559" s="63"/>
      <c r="I559" s="63"/>
      <c r="J559" s="63"/>
      <c r="K559" s="63"/>
      <c r="L559" s="63"/>
      <c r="M559" s="168"/>
      <c r="N559" s="63"/>
      <c r="O559" s="64"/>
      <c r="P559" s="64"/>
      <c r="Q559" s="64"/>
      <c r="R559" s="64"/>
      <c r="S559" s="64"/>
      <c r="T559" s="64"/>
      <c r="U559" s="64"/>
      <c r="V559" s="64"/>
      <c r="W559" s="64"/>
      <c r="X559" s="64"/>
      <c r="Y559" s="137"/>
      <c r="Z559" s="137"/>
      <c r="AA559" s="137"/>
      <c r="AB559" s="137"/>
      <c r="AC559" s="137"/>
    </row>
    <row r="560" spans="3:29" ht="15.75" customHeight="1">
      <c r="C560" s="63"/>
      <c r="D560" s="63"/>
      <c r="E560" s="63"/>
      <c r="F560" s="63"/>
      <c r="G560" s="63"/>
      <c r="H560" s="63"/>
      <c r="I560" s="63"/>
      <c r="J560" s="63"/>
      <c r="K560" s="63"/>
      <c r="L560" s="63"/>
      <c r="M560" s="168"/>
      <c r="N560" s="63"/>
      <c r="O560" s="64"/>
      <c r="P560" s="64"/>
      <c r="Q560" s="64"/>
      <c r="R560" s="64"/>
      <c r="S560" s="64"/>
      <c r="T560" s="64"/>
      <c r="U560" s="64"/>
      <c r="V560" s="64"/>
      <c r="W560" s="64"/>
      <c r="X560" s="64"/>
      <c r="Y560" s="137"/>
      <c r="Z560" s="137"/>
      <c r="AA560" s="137"/>
      <c r="AB560" s="137"/>
      <c r="AC560" s="137"/>
    </row>
    <row r="561" spans="3:29" ht="15.75" customHeight="1">
      <c r="C561" s="63"/>
      <c r="D561" s="63"/>
      <c r="E561" s="63"/>
      <c r="F561" s="63"/>
      <c r="G561" s="63"/>
      <c r="H561" s="63"/>
      <c r="I561" s="63"/>
      <c r="J561" s="63"/>
      <c r="K561" s="63"/>
      <c r="L561" s="63"/>
      <c r="M561" s="168"/>
      <c r="N561" s="63"/>
      <c r="O561" s="64"/>
      <c r="P561" s="64"/>
      <c r="Q561" s="64"/>
      <c r="R561" s="64"/>
      <c r="S561" s="64"/>
      <c r="T561" s="64"/>
      <c r="U561" s="64"/>
      <c r="V561" s="64"/>
      <c r="W561" s="64"/>
      <c r="X561" s="64"/>
      <c r="Y561" s="137"/>
      <c r="Z561" s="137"/>
      <c r="AA561" s="137"/>
      <c r="AB561" s="137"/>
      <c r="AC561" s="137"/>
    </row>
    <row r="562" spans="3:29" ht="15.75" customHeight="1">
      <c r="C562" s="63"/>
      <c r="D562" s="63"/>
      <c r="E562" s="63"/>
      <c r="F562" s="63"/>
      <c r="G562" s="63"/>
      <c r="H562" s="63"/>
      <c r="I562" s="63"/>
      <c r="J562" s="63"/>
      <c r="K562" s="63"/>
      <c r="L562" s="63"/>
      <c r="M562" s="168"/>
      <c r="N562" s="63"/>
      <c r="O562" s="64"/>
      <c r="P562" s="64"/>
      <c r="Q562" s="64"/>
      <c r="R562" s="64"/>
      <c r="S562" s="64"/>
      <c r="T562" s="64"/>
      <c r="U562" s="64"/>
      <c r="V562" s="64"/>
      <c r="W562" s="64"/>
      <c r="X562" s="64"/>
      <c r="Y562" s="137"/>
      <c r="Z562" s="137"/>
      <c r="AA562" s="137"/>
      <c r="AB562" s="137"/>
      <c r="AC562" s="137"/>
    </row>
    <row r="563" spans="3:29" ht="15.75" customHeight="1">
      <c r="C563" s="63"/>
      <c r="D563" s="63"/>
      <c r="E563" s="63"/>
      <c r="F563" s="63"/>
      <c r="G563" s="63"/>
      <c r="H563" s="63"/>
      <c r="I563" s="63"/>
      <c r="J563" s="63"/>
      <c r="K563" s="63"/>
      <c r="L563" s="63"/>
      <c r="M563" s="168"/>
      <c r="N563" s="63"/>
      <c r="O563" s="64"/>
      <c r="P563" s="64"/>
      <c r="Q563" s="64"/>
      <c r="R563" s="64"/>
      <c r="S563" s="64"/>
      <c r="T563" s="64"/>
      <c r="U563" s="64"/>
      <c r="V563" s="64"/>
      <c r="W563" s="64"/>
      <c r="X563" s="64"/>
      <c r="Y563" s="137"/>
      <c r="Z563" s="137"/>
      <c r="AA563" s="137"/>
      <c r="AB563" s="137"/>
      <c r="AC563" s="137"/>
    </row>
    <row r="564" spans="3:29" ht="15.75" customHeight="1">
      <c r="C564" s="63"/>
      <c r="D564" s="63"/>
      <c r="E564" s="63"/>
      <c r="F564" s="63"/>
      <c r="G564" s="63"/>
      <c r="H564" s="63"/>
      <c r="I564" s="63"/>
      <c r="J564" s="63"/>
      <c r="K564" s="63"/>
      <c r="L564" s="63"/>
      <c r="M564" s="168"/>
      <c r="N564" s="63"/>
      <c r="O564" s="64"/>
      <c r="P564" s="64"/>
      <c r="Q564" s="64"/>
      <c r="R564" s="64"/>
      <c r="S564" s="64"/>
      <c r="T564" s="64"/>
      <c r="U564" s="64"/>
      <c r="V564" s="64"/>
      <c r="W564" s="64"/>
      <c r="X564" s="64"/>
      <c r="Y564" s="137"/>
      <c r="Z564" s="137"/>
      <c r="AA564" s="137"/>
      <c r="AB564" s="137"/>
      <c r="AC564" s="137"/>
    </row>
    <row r="565" spans="3:29" ht="15.75" customHeight="1">
      <c r="C565" s="63"/>
      <c r="D565" s="63"/>
      <c r="E565" s="63"/>
      <c r="F565" s="63"/>
      <c r="G565" s="63"/>
      <c r="H565" s="63"/>
      <c r="I565" s="63"/>
      <c r="J565" s="63"/>
      <c r="K565" s="63"/>
      <c r="L565" s="63"/>
      <c r="M565" s="168"/>
      <c r="N565" s="63"/>
      <c r="O565" s="64"/>
      <c r="P565" s="64"/>
      <c r="Q565" s="64"/>
      <c r="R565" s="64"/>
      <c r="S565" s="64"/>
      <c r="T565" s="64"/>
      <c r="U565" s="64"/>
      <c r="V565" s="64"/>
      <c r="W565" s="64"/>
      <c r="X565" s="64"/>
      <c r="Y565" s="137"/>
      <c r="Z565" s="137"/>
      <c r="AA565" s="137"/>
      <c r="AB565" s="137"/>
      <c r="AC565" s="137"/>
    </row>
    <row r="566" spans="3:29" ht="15.75" customHeight="1">
      <c r="C566" s="63"/>
      <c r="D566" s="63"/>
      <c r="E566" s="63"/>
      <c r="F566" s="63"/>
      <c r="G566" s="63"/>
      <c r="H566" s="63"/>
      <c r="I566" s="63"/>
      <c r="J566" s="63"/>
      <c r="K566" s="63"/>
      <c r="L566" s="63"/>
      <c r="M566" s="168"/>
      <c r="N566" s="63"/>
      <c r="O566" s="64"/>
      <c r="P566" s="64"/>
      <c r="Q566" s="64"/>
      <c r="R566" s="64"/>
      <c r="S566" s="64"/>
      <c r="T566" s="64"/>
      <c r="U566" s="64"/>
      <c r="V566" s="64"/>
      <c r="W566" s="64"/>
      <c r="X566" s="64"/>
      <c r="Y566" s="137"/>
      <c r="Z566" s="137"/>
      <c r="AA566" s="137"/>
      <c r="AB566" s="137"/>
      <c r="AC566" s="137"/>
    </row>
    <row r="567" spans="3:29" ht="15.75" customHeight="1">
      <c r="C567" s="63"/>
      <c r="D567" s="63"/>
      <c r="E567" s="63"/>
      <c r="F567" s="63"/>
      <c r="G567" s="63"/>
      <c r="H567" s="63"/>
      <c r="I567" s="63"/>
      <c r="J567" s="63"/>
      <c r="K567" s="63"/>
      <c r="L567" s="63"/>
      <c r="M567" s="168"/>
      <c r="N567" s="63"/>
      <c r="O567" s="64"/>
      <c r="P567" s="64"/>
      <c r="Q567" s="64"/>
      <c r="R567" s="64"/>
      <c r="S567" s="64"/>
      <c r="T567" s="64"/>
      <c r="U567" s="64"/>
      <c r="V567" s="64"/>
      <c r="W567" s="64"/>
      <c r="X567" s="64"/>
      <c r="Y567" s="137"/>
      <c r="Z567" s="137"/>
      <c r="AA567" s="137"/>
      <c r="AB567" s="137"/>
      <c r="AC567" s="137"/>
    </row>
    <row r="568" spans="3:29" ht="15.75" customHeight="1">
      <c r="C568" s="63"/>
      <c r="D568" s="63"/>
      <c r="E568" s="63"/>
      <c r="F568" s="63"/>
      <c r="G568" s="63"/>
      <c r="H568" s="63"/>
      <c r="I568" s="63"/>
      <c r="J568" s="63"/>
      <c r="K568" s="63"/>
      <c r="L568" s="63"/>
      <c r="M568" s="168"/>
      <c r="N568" s="63"/>
      <c r="O568" s="64"/>
      <c r="P568" s="64"/>
      <c r="Q568" s="64"/>
      <c r="R568" s="64"/>
      <c r="S568" s="64"/>
      <c r="T568" s="64"/>
      <c r="U568" s="64"/>
      <c r="V568" s="64"/>
      <c r="W568" s="64"/>
      <c r="X568" s="64"/>
      <c r="Y568" s="137"/>
      <c r="Z568" s="137"/>
      <c r="AA568" s="137"/>
      <c r="AB568" s="137"/>
      <c r="AC568" s="137"/>
    </row>
    <row r="569" spans="3:29" ht="15.75" customHeight="1">
      <c r="C569" s="63"/>
      <c r="D569" s="63"/>
      <c r="E569" s="63"/>
      <c r="F569" s="63"/>
      <c r="G569" s="63"/>
      <c r="H569" s="63"/>
      <c r="I569" s="63"/>
      <c r="J569" s="63"/>
      <c r="K569" s="63"/>
      <c r="L569" s="63"/>
      <c r="M569" s="168"/>
      <c r="N569" s="63"/>
      <c r="O569" s="64"/>
      <c r="P569" s="64"/>
      <c r="Q569" s="64"/>
      <c r="R569" s="64"/>
      <c r="S569" s="64"/>
      <c r="T569" s="64"/>
      <c r="U569" s="64"/>
      <c r="V569" s="64"/>
      <c r="W569" s="64"/>
      <c r="X569" s="64"/>
      <c r="Y569" s="137"/>
      <c r="Z569" s="137"/>
      <c r="AA569" s="137"/>
      <c r="AB569" s="137"/>
      <c r="AC569" s="137"/>
    </row>
    <row r="570" spans="3:29" ht="15.75" customHeight="1">
      <c r="C570" s="63"/>
      <c r="D570" s="63"/>
      <c r="E570" s="63"/>
      <c r="F570" s="63"/>
      <c r="G570" s="63"/>
      <c r="H570" s="63"/>
      <c r="I570" s="63"/>
      <c r="J570" s="63"/>
      <c r="K570" s="63"/>
      <c r="L570" s="63"/>
      <c r="M570" s="168"/>
      <c r="N570" s="63"/>
      <c r="O570" s="64"/>
      <c r="P570" s="64"/>
      <c r="Q570" s="64"/>
      <c r="R570" s="64"/>
      <c r="S570" s="64"/>
      <c r="T570" s="64"/>
      <c r="U570" s="64"/>
      <c r="V570" s="64"/>
      <c r="W570" s="64"/>
      <c r="X570" s="64"/>
      <c r="Y570" s="137"/>
      <c r="Z570" s="137"/>
      <c r="AA570" s="137"/>
      <c r="AB570" s="137"/>
      <c r="AC570" s="137"/>
    </row>
    <row r="571" spans="3:29" ht="15.75" customHeight="1">
      <c r="C571" s="63"/>
      <c r="D571" s="63"/>
      <c r="E571" s="63"/>
      <c r="F571" s="63"/>
      <c r="G571" s="63"/>
      <c r="H571" s="63"/>
      <c r="I571" s="63"/>
      <c r="J571" s="63"/>
      <c r="K571" s="63"/>
      <c r="L571" s="63"/>
      <c r="M571" s="168"/>
      <c r="N571" s="63"/>
      <c r="O571" s="64"/>
      <c r="P571" s="64"/>
      <c r="Q571" s="64"/>
      <c r="R571" s="64"/>
      <c r="S571" s="64"/>
      <c r="T571" s="64"/>
      <c r="U571" s="64"/>
      <c r="V571" s="64"/>
      <c r="W571" s="64"/>
      <c r="X571" s="64"/>
      <c r="Y571" s="137"/>
      <c r="Z571" s="137"/>
      <c r="AA571" s="137"/>
      <c r="AB571" s="137"/>
      <c r="AC571" s="137"/>
    </row>
    <row r="572" spans="3:29" ht="15.75" customHeight="1">
      <c r="C572" s="63"/>
      <c r="D572" s="63"/>
      <c r="E572" s="63"/>
      <c r="F572" s="63"/>
      <c r="G572" s="63"/>
      <c r="H572" s="63"/>
      <c r="I572" s="63"/>
      <c r="J572" s="63"/>
      <c r="K572" s="63"/>
      <c r="L572" s="63"/>
      <c r="M572" s="168"/>
      <c r="N572" s="63"/>
      <c r="O572" s="64"/>
      <c r="P572" s="64"/>
      <c r="Q572" s="64"/>
      <c r="R572" s="64"/>
      <c r="S572" s="64"/>
      <c r="T572" s="64"/>
      <c r="U572" s="64"/>
      <c r="V572" s="64"/>
      <c r="W572" s="64"/>
      <c r="X572" s="64"/>
      <c r="Y572" s="137"/>
      <c r="Z572" s="137"/>
      <c r="AA572" s="137"/>
      <c r="AB572" s="137"/>
      <c r="AC572" s="137"/>
    </row>
    <row r="573" spans="3:29" ht="15.75" customHeight="1">
      <c r="C573" s="63"/>
      <c r="D573" s="63"/>
      <c r="E573" s="63"/>
      <c r="F573" s="63"/>
      <c r="G573" s="63"/>
      <c r="H573" s="63"/>
      <c r="I573" s="63"/>
      <c r="J573" s="63"/>
      <c r="K573" s="63"/>
      <c r="L573" s="63"/>
      <c r="M573" s="168"/>
      <c r="N573" s="63"/>
      <c r="O573" s="64"/>
      <c r="P573" s="64"/>
      <c r="Q573" s="64"/>
      <c r="R573" s="64"/>
      <c r="S573" s="64"/>
      <c r="T573" s="64"/>
      <c r="U573" s="64"/>
      <c r="V573" s="64"/>
      <c r="W573" s="64"/>
      <c r="X573" s="64"/>
      <c r="Y573" s="137"/>
      <c r="Z573" s="137"/>
      <c r="AA573" s="137"/>
      <c r="AB573" s="137"/>
      <c r="AC573" s="137"/>
    </row>
    <row r="574" spans="3:29" ht="15.75" customHeight="1">
      <c r="C574" s="63"/>
      <c r="D574" s="63"/>
      <c r="E574" s="63"/>
      <c r="F574" s="63"/>
      <c r="G574" s="63"/>
      <c r="H574" s="63"/>
      <c r="I574" s="63"/>
      <c r="J574" s="63"/>
      <c r="K574" s="63"/>
      <c r="L574" s="63"/>
      <c r="M574" s="168"/>
      <c r="N574" s="63"/>
      <c r="O574" s="64"/>
      <c r="P574" s="64"/>
      <c r="Q574" s="64"/>
      <c r="R574" s="64"/>
      <c r="S574" s="64"/>
      <c r="T574" s="64"/>
      <c r="U574" s="64"/>
      <c r="V574" s="64"/>
      <c r="W574" s="64"/>
      <c r="X574" s="64"/>
      <c r="Y574" s="137"/>
      <c r="Z574" s="137"/>
      <c r="AA574" s="137"/>
      <c r="AB574" s="137"/>
      <c r="AC574" s="137"/>
    </row>
    <row r="575" spans="3:29" ht="15.75" customHeight="1">
      <c r="C575" s="63"/>
      <c r="D575" s="63"/>
      <c r="E575" s="63"/>
      <c r="F575" s="63"/>
      <c r="G575" s="63"/>
      <c r="H575" s="63"/>
      <c r="I575" s="63"/>
      <c r="J575" s="63"/>
      <c r="K575" s="63"/>
      <c r="L575" s="63"/>
      <c r="M575" s="168"/>
      <c r="N575" s="63"/>
      <c r="O575" s="64"/>
      <c r="P575" s="64"/>
      <c r="Q575" s="64"/>
      <c r="R575" s="64"/>
      <c r="S575" s="64"/>
      <c r="T575" s="64"/>
      <c r="U575" s="64"/>
      <c r="V575" s="64"/>
      <c r="W575" s="64"/>
      <c r="X575" s="64"/>
      <c r="Y575" s="137"/>
      <c r="Z575" s="137"/>
      <c r="AA575" s="137"/>
      <c r="AB575" s="137"/>
      <c r="AC575" s="137"/>
    </row>
    <row r="576" spans="3:29" ht="15.75" customHeight="1">
      <c r="C576" s="63"/>
      <c r="D576" s="63"/>
      <c r="E576" s="63"/>
      <c r="F576" s="63"/>
      <c r="G576" s="63"/>
      <c r="H576" s="63"/>
      <c r="I576" s="63"/>
      <c r="J576" s="63"/>
      <c r="K576" s="63"/>
      <c r="L576" s="63"/>
      <c r="M576" s="168"/>
      <c r="N576" s="63"/>
      <c r="O576" s="64"/>
      <c r="P576" s="64"/>
      <c r="Q576" s="64"/>
      <c r="R576" s="64"/>
      <c r="S576" s="64"/>
      <c r="T576" s="64"/>
      <c r="U576" s="64"/>
      <c r="V576" s="64"/>
      <c r="W576" s="64"/>
      <c r="X576" s="64"/>
      <c r="Y576" s="137"/>
      <c r="Z576" s="137"/>
      <c r="AA576" s="137"/>
      <c r="AB576" s="137"/>
      <c r="AC576" s="137"/>
    </row>
    <row r="577" spans="3:29" ht="15.75" customHeight="1">
      <c r="C577" s="63"/>
      <c r="D577" s="63"/>
      <c r="E577" s="63"/>
      <c r="F577" s="63"/>
      <c r="G577" s="63"/>
      <c r="H577" s="63"/>
      <c r="I577" s="63"/>
      <c r="J577" s="63"/>
      <c r="K577" s="63"/>
      <c r="L577" s="63"/>
      <c r="M577" s="168"/>
      <c r="N577" s="63"/>
      <c r="O577" s="64"/>
      <c r="P577" s="64"/>
      <c r="Q577" s="64"/>
      <c r="R577" s="64"/>
      <c r="S577" s="64"/>
      <c r="T577" s="64"/>
      <c r="U577" s="64"/>
      <c r="V577" s="64"/>
      <c r="W577" s="64"/>
      <c r="X577" s="64"/>
      <c r="Y577" s="137"/>
      <c r="Z577" s="137"/>
      <c r="AA577" s="137"/>
      <c r="AB577" s="137"/>
      <c r="AC577" s="137"/>
    </row>
    <row r="578" spans="3:29" ht="15.75" customHeight="1">
      <c r="C578" s="63"/>
      <c r="D578" s="63"/>
      <c r="E578" s="63"/>
      <c r="F578" s="63"/>
      <c r="G578" s="63"/>
      <c r="H578" s="63"/>
      <c r="I578" s="63"/>
      <c r="J578" s="63"/>
      <c r="K578" s="63"/>
      <c r="L578" s="63"/>
      <c r="M578" s="168"/>
      <c r="N578" s="63"/>
      <c r="O578" s="64"/>
      <c r="P578" s="64"/>
      <c r="Q578" s="64"/>
      <c r="R578" s="64"/>
      <c r="S578" s="64"/>
      <c r="T578" s="64"/>
      <c r="U578" s="64"/>
      <c r="V578" s="64"/>
      <c r="W578" s="64"/>
      <c r="X578" s="64"/>
      <c r="Y578" s="137"/>
      <c r="Z578" s="137"/>
      <c r="AA578" s="137"/>
      <c r="AB578" s="137"/>
      <c r="AC578" s="137"/>
    </row>
    <row r="579" spans="3:29" ht="15.75" customHeight="1">
      <c r="C579" s="63"/>
      <c r="D579" s="63"/>
      <c r="E579" s="63"/>
      <c r="F579" s="63"/>
      <c r="G579" s="63"/>
      <c r="H579" s="63"/>
      <c r="I579" s="63"/>
      <c r="J579" s="63"/>
      <c r="K579" s="63"/>
      <c r="L579" s="63"/>
      <c r="M579" s="168"/>
      <c r="N579" s="63"/>
      <c r="O579" s="64"/>
      <c r="P579" s="64"/>
      <c r="Q579" s="64"/>
      <c r="R579" s="64"/>
      <c r="S579" s="64"/>
      <c r="T579" s="64"/>
      <c r="U579" s="64"/>
      <c r="V579" s="64"/>
      <c r="W579" s="64"/>
      <c r="X579" s="64"/>
      <c r="Y579" s="137"/>
      <c r="Z579" s="137"/>
      <c r="AA579" s="137"/>
      <c r="AB579" s="137"/>
      <c r="AC579" s="137"/>
    </row>
    <row r="580" spans="3:29" ht="15.75" customHeight="1">
      <c r="C580" s="63"/>
      <c r="D580" s="63"/>
      <c r="E580" s="63"/>
      <c r="F580" s="63"/>
      <c r="G580" s="63"/>
      <c r="H580" s="63"/>
      <c r="I580" s="63"/>
      <c r="J580" s="63"/>
      <c r="K580" s="63"/>
      <c r="L580" s="63"/>
      <c r="M580" s="168"/>
      <c r="N580" s="63"/>
      <c r="O580" s="64"/>
      <c r="P580" s="64"/>
      <c r="Q580" s="64"/>
      <c r="R580" s="64"/>
      <c r="S580" s="64"/>
      <c r="T580" s="64"/>
      <c r="U580" s="64"/>
      <c r="V580" s="64"/>
      <c r="W580" s="64"/>
      <c r="X580" s="64"/>
      <c r="Y580" s="137"/>
      <c r="Z580" s="137"/>
      <c r="AA580" s="137"/>
      <c r="AB580" s="137"/>
      <c r="AC580" s="137"/>
    </row>
    <row r="581" spans="3:29" ht="15.75" customHeight="1">
      <c r="C581" s="63"/>
      <c r="D581" s="63"/>
      <c r="E581" s="63"/>
      <c r="F581" s="63"/>
      <c r="G581" s="63"/>
      <c r="H581" s="63"/>
      <c r="I581" s="63"/>
      <c r="J581" s="63"/>
      <c r="K581" s="63"/>
      <c r="L581" s="63"/>
      <c r="M581" s="168"/>
      <c r="N581" s="63"/>
      <c r="O581" s="64"/>
      <c r="P581" s="64"/>
      <c r="Q581" s="64"/>
      <c r="R581" s="64"/>
      <c r="S581" s="64"/>
      <c r="T581" s="64"/>
      <c r="U581" s="64"/>
      <c r="V581" s="64"/>
      <c r="W581" s="64"/>
      <c r="X581" s="64"/>
      <c r="Y581" s="137"/>
      <c r="Z581" s="137"/>
      <c r="AA581" s="137"/>
      <c r="AB581" s="137"/>
      <c r="AC581" s="137"/>
    </row>
    <row r="582" spans="3:29" ht="15.75" customHeight="1">
      <c r="C582" s="63"/>
      <c r="D582" s="63"/>
      <c r="E582" s="63"/>
      <c r="F582" s="63"/>
      <c r="G582" s="63"/>
      <c r="H582" s="63"/>
      <c r="I582" s="63"/>
      <c r="J582" s="63"/>
      <c r="K582" s="63"/>
      <c r="L582" s="63"/>
      <c r="M582" s="168"/>
      <c r="N582" s="63"/>
      <c r="O582" s="64"/>
      <c r="P582" s="64"/>
      <c r="Q582" s="64"/>
      <c r="R582" s="64"/>
      <c r="S582" s="64"/>
      <c r="T582" s="64"/>
      <c r="U582" s="64"/>
      <c r="V582" s="64"/>
      <c r="W582" s="64"/>
      <c r="X582" s="64"/>
      <c r="Y582" s="137"/>
      <c r="Z582" s="137"/>
      <c r="AA582" s="137"/>
      <c r="AB582" s="137"/>
      <c r="AC582" s="137"/>
    </row>
    <row r="583" spans="3:29" ht="15.75" customHeight="1">
      <c r="C583" s="63"/>
      <c r="D583" s="63"/>
      <c r="E583" s="63"/>
      <c r="F583" s="63"/>
      <c r="G583" s="63"/>
      <c r="H583" s="63"/>
      <c r="I583" s="63"/>
      <c r="J583" s="63"/>
      <c r="K583" s="63"/>
      <c r="L583" s="63"/>
      <c r="M583" s="168"/>
      <c r="N583" s="63"/>
      <c r="O583" s="64"/>
      <c r="P583" s="64"/>
      <c r="Q583" s="64"/>
      <c r="R583" s="64"/>
      <c r="S583" s="64"/>
      <c r="T583" s="64"/>
      <c r="U583" s="64"/>
      <c r="V583" s="64"/>
      <c r="W583" s="64"/>
      <c r="X583" s="64"/>
      <c r="Y583" s="137"/>
      <c r="Z583" s="137"/>
      <c r="AA583" s="137"/>
      <c r="AB583" s="137"/>
      <c r="AC583" s="137"/>
    </row>
    <row r="584" spans="3:29" ht="15.75" customHeight="1">
      <c r="C584" s="63"/>
      <c r="D584" s="63"/>
      <c r="E584" s="63"/>
      <c r="F584" s="63"/>
      <c r="G584" s="63"/>
      <c r="H584" s="63"/>
      <c r="I584" s="63"/>
      <c r="J584" s="63"/>
      <c r="K584" s="63"/>
      <c r="L584" s="63"/>
      <c r="M584" s="168"/>
      <c r="N584" s="63"/>
      <c r="O584" s="64"/>
      <c r="P584" s="64"/>
      <c r="Q584" s="64"/>
      <c r="R584" s="64"/>
      <c r="S584" s="64"/>
      <c r="T584" s="64"/>
      <c r="U584" s="64"/>
      <c r="V584" s="64"/>
      <c r="W584" s="64"/>
      <c r="X584" s="64"/>
      <c r="Y584" s="137"/>
      <c r="Z584" s="137"/>
      <c r="AA584" s="137"/>
      <c r="AB584" s="137"/>
      <c r="AC584" s="137"/>
    </row>
    <row r="585" spans="3:29" ht="15.75" customHeight="1">
      <c r="C585" s="63"/>
      <c r="D585" s="63"/>
      <c r="E585" s="63"/>
      <c r="F585" s="63"/>
      <c r="G585" s="63"/>
      <c r="H585" s="63"/>
      <c r="I585" s="63"/>
      <c r="J585" s="63"/>
      <c r="K585" s="63"/>
      <c r="L585" s="63"/>
      <c r="M585" s="168"/>
      <c r="N585" s="63"/>
      <c r="O585" s="64"/>
      <c r="P585" s="64"/>
      <c r="Q585" s="64"/>
      <c r="R585" s="64"/>
      <c r="S585" s="64"/>
      <c r="T585" s="64"/>
      <c r="U585" s="64"/>
      <c r="V585" s="64"/>
      <c r="W585" s="64"/>
      <c r="X585" s="64"/>
      <c r="Y585" s="137"/>
      <c r="Z585" s="137"/>
      <c r="AA585" s="137"/>
      <c r="AB585" s="137"/>
      <c r="AC585" s="137"/>
    </row>
    <row r="586" spans="3:29" ht="15.75" customHeight="1">
      <c r="C586" s="63"/>
      <c r="D586" s="63"/>
      <c r="E586" s="63"/>
      <c r="F586" s="63"/>
      <c r="G586" s="63"/>
      <c r="H586" s="63"/>
      <c r="I586" s="63"/>
      <c r="J586" s="63"/>
      <c r="K586" s="63"/>
      <c r="L586" s="63"/>
      <c r="M586" s="168"/>
      <c r="N586" s="63"/>
      <c r="O586" s="64"/>
      <c r="P586" s="64"/>
      <c r="Q586" s="64"/>
      <c r="R586" s="64"/>
      <c r="S586" s="64"/>
      <c r="T586" s="64"/>
      <c r="U586" s="64"/>
      <c r="V586" s="64"/>
      <c r="W586" s="64"/>
      <c r="X586" s="64"/>
      <c r="Y586" s="137"/>
      <c r="Z586" s="137"/>
      <c r="AA586" s="137"/>
      <c r="AB586" s="137"/>
      <c r="AC586" s="137"/>
    </row>
    <row r="587" spans="3:29" ht="15.75" customHeight="1">
      <c r="C587" s="63"/>
      <c r="D587" s="63"/>
      <c r="E587" s="63"/>
      <c r="F587" s="63"/>
      <c r="G587" s="63"/>
      <c r="H587" s="63"/>
      <c r="I587" s="63"/>
      <c r="J587" s="63"/>
      <c r="K587" s="63"/>
      <c r="L587" s="63"/>
      <c r="M587" s="168"/>
      <c r="N587" s="63"/>
      <c r="O587" s="64"/>
      <c r="P587" s="64"/>
      <c r="Q587" s="64"/>
      <c r="R587" s="64"/>
      <c r="S587" s="64"/>
      <c r="T587" s="64"/>
      <c r="U587" s="64"/>
      <c r="V587" s="64"/>
      <c r="W587" s="64"/>
      <c r="X587" s="64"/>
      <c r="Y587" s="137"/>
      <c r="Z587" s="137"/>
      <c r="AA587" s="137"/>
      <c r="AB587" s="137"/>
      <c r="AC587" s="137"/>
    </row>
    <row r="588" spans="3:29" ht="15.75" customHeight="1">
      <c r="C588" s="63"/>
      <c r="D588" s="63"/>
      <c r="E588" s="63"/>
      <c r="F588" s="63"/>
      <c r="G588" s="63"/>
      <c r="H588" s="63"/>
      <c r="I588" s="63"/>
      <c r="J588" s="63"/>
      <c r="K588" s="63"/>
      <c r="L588" s="63"/>
      <c r="M588" s="168"/>
      <c r="N588" s="63"/>
      <c r="O588" s="64"/>
      <c r="P588" s="64"/>
      <c r="Q588" s="64"/>
      <c r="R588" s="64"/>
      <c r="S588" s="64"/>
      <c r="T588" s="64"/>
      <c r="U588" s="64"/>
      <c r="V588" s="64"/>
      <c r="W588" s="64"/>
      <c r="X588" s="64"/>
      <c r="Y588" s="137"/>
      <c r="Z588" s="137"/>
      <c r="AA588" s="137"/>
      <c r="AB588" s="137"/>
      <c r="AC588" s="137"/>
    </row>
    <row r="589" spans="3:29" ht="15.75" customHeight="1">
      <c r="C589" s="63"/>
      <c r="D589" s="63"/>
      <c r="E589" s="63"/>
      <c r="F589" s="63"/>
      <c r="G589" s="63"/>
      <c r="H589" s="63"/>
      <c r="I589" s="63"/>
      <c r="J589" s="63"/>
      <c r="K589" s="63"/>
      <c r="L589" s="63"/>
      <c r="M589" s="168"/>
      <c r="N589" s="63"/>
      <c r="O589" s="64"/>
      <c r="P589" s="64"/>
      <c r="Q589" s="64"/>
      <c r="R589" s="64"/>
      <c r="S589" s="64"/>
      <c r="T589" s="64"/>
      <c r="U589" s="64"/>
      <c r="V589" s="64"/>
      <c r="W589" s="64"/>
      <c r="X589" s="64"/>
      <c r="Y589" s="137"/>
      <c r="Z589" s="137"/>
      <c r="AA589" s="137"/>
      <c r="AB589" s="137"/>
      <c r="AC589" s="137"/>
    </row>
    <row r="590" spans="3:29" ht="15.75" customHeight="1">
      <c r="C590" s="63"/>
      <c r="D590" s="63"/>
      <c r="E590" s="63"/>
      <c r="F590" s="63"/>
      <c r="G590" s="63"/>
      <c r="H590" s="63"/>
      <c r="I590" s="63"/>
      <c r="J590" s="63"/>
      <c r="K590" s="63"/>
      <c r="L590" s="63"/>
      <c r="M590" s="168"/>
      <c r="N590" s="63"/>
      <c r="O590" s="64"/>
      <c r="P590" s="64"/>
      <c r="Q590" s="64"/>
      <c r="R590" s="64"/>
      <c r="S590" s="64"/>
      <c r="T590" s="64"/>
      <c r="U590" s="64"/>
      <c r="V590" s="64"/>
      <c r="W590" s="64"/>
      <c r="X590" s="64"/>
      <c r="Y590" s="137"/>
      <c r="Z590" s="137"/>
      <c r="AA590" s="137"/>
      <c r="AB590" s="137"/>
      <c r="AC590" s="137"/>
    </row>
    <row r="591" spans="3:29" ht="15.75" customHeight="1">
      <c r="C591" s="63"/>
      <c r="D591" s="63"/>
      <c r="E591" s="63"/>
      <c r="F591" s="63"/>
      <c r="G591" s="63"/>
      <c r="H591" s="63"/>
      <c r="I591" s="63"/>
      <c r="J591" s="63"/>
      <c r="K591" s="63"/>
      <c r="L591" s="63"/>
      <c r="M591" s="168"/>
      <c r="N591" s="63"/>
      <c r="O591" s="64"/>
      <c r="P591" s="64"/>
      <c r="Q591" s="64"/>
      <c r="R591" s="64"/>
      <c r="S591" s="64"/>
      <c r="T591" s="64"/>
      <c r="U591" s="64"/>
      <c r="V591" s="64"/>
      <c r="W591" s="64"/>
      <c r="X591" s="64"/>
      <c r="Y591" s="137"/>
      <c r="Z591" s="137"/>
      <c r="AA591" s="137"/>
      <c r="AB591" s="137"/>
      <c r="AC591" s="137"/>
    </row>
    <row r="592" spans="3:29" ht="15.75" customHeight="1">
      <c r="C592" s="63"/>
      <c r="D592" s="63"/>
      <c r="E592" s="63"/>
      <c r="F592" s="63"/>
      <c r="G592" s="63"/>
      <c r="H592" s="63"/>
      <c r="I592" s="63"/>
      <c r="J592" s="63"/>
      <c r="K592" s="63"/>
      <c r="L592" s="63"/>
      <c r="M592" s="168"/>
      <c r="N592" s="63"/>
      <c r="O592" s="64"/>
      <c r="P592" s="64"/>
      <c r="Q592" s="64"/>
      <c r="R592" s="64"/>
      <c r="S592" s="64"/>
      <c r="T592" s="64"/>
      <c r="U592" s="64"/>
      <c r="V592" s="64"/>
      <c r="W592" s="64"/>
      <c r="X592" s="64"/>
      <c r="Y592" s="137"/>
      <c r="Z592" s="137"/>
      <c r="AA592" s="137"/>
      <c r="AB592" s="137"/>
      <c r="AC592" s="137"/>
    </row>
    <row r="593" spans="3:29" ht="15.75" customHeight="1">
      <c r="C593" s="63"/>
      <c r="D593" s="63"/>
      <c r="E593" s="63"/>
      <c r="F593" s="63"/>
      <c r="G593" s="63"/>
      <c r="H593" s="63"/>
      <c r="I593" s="63"/>
      <c r="J593" s="63"/>
      <c r="K593" s="63"/>
      <c r="L593" s="63"/>
      <c r="M593" s="168"/>
      <c r="N593" s="63"/>
      <c r="O593" s="64"/>
      <c r="P593" s="64"/>
      <c r="Q593" s="64"/>
      <c r="R593" s="64"/>
      <c r="S593" s="64"/>
      <c r="T593" s="64"/>
      <c r="U593" s="64"/>
      <c r="V593" s="64"/>
      <c r="W593" s="64"/>
      <c r="X593" s="64"/>
      <c r="Y593" s="137"/>
      <c r="Z593" s="137"/>
      <c r="AA593" s="137"/>
      <c r="AB593" s="137"/>
      <c r="AC593" s="137"/>
    </row>
    <row r="594" spans="3:29" ht="15.75" customHeight="1">
      <c r="C594" s="63"/>
      <c r="D594" s="63"/>
      <c r="E594" s="63"/>
      <c r="F594" s="63"/>
      <c r="G594" s="63"/>
      <c r="H594" s="63"/>
      <c r="I594" s="63"/>
      <c r="J594" s="63"/>
      <c r="K594" s="63"/>
      <c r="L594" s="63"/>
      <c r="M594" s="168"/>
      <c r="N594" s="63"/>
      <c r="O594" s="64"/>
      <c r="P594" s="64"/>
      <c r="Q594" s="64"/>
      <c r="R594" s="64"/>
      <c r="S594" s="64"/>
      <c r="T594" s="64"/>
      <c r="U594" s="64"/>
      <c r="V594" s="64"/>
      <c r="W594" s="64"/>
      <c r="X594" s="64"/>
      <c r="Y594" s="137"/>
      <c r="Z594" s="137"/>
      <c r="AA594" s="137"/>
      <c r="AB594" s="137"/>
      <c r="AC594" s="137"/>
    </row>
    <row r="595" spans="3:29" ht="15.75" customHeight="1">
      <c r="C595" s="63"/>
      <c r="D595" s="63"/>
      <c r="E595" s="63"/>
      <c r="F595" s="63"/>
      <c r="G595" s="63"/>
      <c r="H595" s="63"/>
      <c r="I595" s="63"/>
      <c r="J595" s="63"/>
      <c r="K595" s="63"/>
      <c r="L595" s="63"/>
      <c r="M595" s="168"/>
      <c r="N595" s="63"/>
      <c r="O595" s="64"/>
      <c r="P595" s="64"/>
      <c r="Q595" s="64"/>
      <c r="R595" s="64"/>
      <c r="S595" s="64"/>
      <c r="T595" s="64"/>
      <c r="U595" s="64"/>
      <c r="V595" s="64"/>
      <c r="W595" s="64"/>
      <c r="X595" s="64"/>
      <c r="Y595" s="137"/>
      <c r="Z595" s="137"/>
      <c r="AA595" s="137"/>
      <c r="AB595" s="137"/>
      <c r="AC595" s="137"/>
    </row>
    <row r="596" spans="3:29" ht="15.75" customHeight="1">
      <c r="C596" s="63"/>
      <c r="D596" s="63"/>
      <c r="E596" s="63"/>
      <c r="F596" s="63"/>
      <c r="G596" s="63"/>
      <c r="H596" s="63"/>
      <c r="I596" s="63"/>
      <c r="J596" s="63"/>
      <c r="K596" s="63"/>
      <c r="L596" s="63"/>
      <c r="M596" s="168"/>
      <c r="N596" s="63"/>
      <c r="O596" s="64"/>
      <c r="P596" s="64"/>
      <c r="Q596" s="64"/>
      <c r="R596" s="64"/>
      <c r="S596" s="64"/>
      <c r="T596" s="64"/>
      <c r="U596" s="64"/>
      <c r="V596" s="64"/>
      <c r="W596" s="64"/>
      <c r="X596" s="64"/>
      <c r="Y596" s="137"/>
      <c r="Z596" s="137"/>
      <c r="AA596" s="137"/>
      <c r="AB596" s="137"/>
      <c r="AC596" s="137"/>
    </row>
    <row r="597" spans="3:29" ht="15.75" customHeight="1">
      <c r="C597" s="63"/>
      <c r="D597" s="63"/>
      <c r="E597" s="63"/>
      <c r="F597" s="63"/>
      <c r="G597" s="63"/>
      <c r="H597" s="63"/>
      <c r="I597" s="63"/>
      <c r="J597" s="63"/>
      <c r="K597" s="63"/>
      <c r="L597" s="63"/>
      <c r="M597" s="168"/>
      <c r="N597" s="63"/>
      <c r="O597" s="64"/>
      <c r="P597" s="64"/>
      <c r="Q597" s="64"/>
      <c r="R597" s="64"/>
      <c r="S597" s="64"/>
      <c r="T597" s="64"/>
      <c r="U597" s="64"/>
      <c r="V597" s="64"/>
      <c r="W597" s="64"/>
      <c r="X597" s="64"/>
      <c r="Y597" s="137"/>
      <c r="Z597" s="137"/>
      <c r="AA597" s="137"/>
      <c r="AB597" s="137"/>
      <c r="AC597" s="137"/>
    </row>
    <row r="598" spans="3:29" ht="15.75" customHeight="1">
      <c r="C598" s="63"/>
      <c r="D598" s="63"/>
      <c r="E598" s="63"/>
      <c r="F598" s="63"/>
      <c r="G598" s="63"/>
      <c r="H598" s="63"/>
      <c r="I598" s="63"/>
      <c r="J598" s="63"/>
      <c r="K598" s="63"/>
      <c r="L598" s="63"/>
      <c r="M598" s="168"/>
      <c r="N598" s="63"/>
      <c r="O598" s="64"/>
      <c r="P598" s="64"/>
      <c r="Q598" s="64"/>
      <c r="R598" s="64"/>
      <c r="S598" s="64"/>
      <c r="T598" s="64"/>
      <c r="U598" s="64"/>
      <c r="V598" s="64"/>
      <c r="W598" s="64"/>
      <c r="X598" s="64"/>
      <c r="Y598" s="137"/>
      <c r="Z598" s="137"/>
      <c r="AA598" s="137"/>
      <c r="AB598" s="137"/>
      <c r="AC598" s="137"/>
    </row>
    <row r="599" spans="3:29" ht="15.75" customHeight="1">
      <c r="C599" s="63"/>
      <c r="D599" s="63"/>
      <c r="E599" s="63"/>
      <c r="F599" s="63"/>
      <c r="G599" s="63"/>
      <c r="H599" s="63"/>
      <c r="I599" s="63"/>
      <c r="J599" s="63"/>
      <c r="K599" s="63"/>
      <c r="L599" s="63"/>
      <c r="M599" s="168"/>
      <c r="N599" s="63"/>
      <c r="O599" s="64"/>
      <c r="P599" s="64"/>
      <c r="Q599" s="64"/>
      <c r="R599" s="64"/>
      <c r="S599" s="64"/>
      <c r="T599" s="64"/>
      <c r="U599" s="64"/>
      <c r="V599" s="64"/>
      <c r="W599" s="64"/>
      <c r="X599" s="64"/>
      <c r="Y599" s="137"/>
      <c r="Z599" s="137"/>
      <c r="AA599" s="137"/>
      <c r="AB599" s="137"/>
      <c r="AC599" s="137"/>
    </row>
    <row r="600" spans="3:29" ht="15.75" customHeight="1">
      <c r="C600" s="63"/>
      <c r="D600" s="63"/>
      <c r="E600" s="63"/>
      <c r="F600" s="63"/>
      <c r="G600" s="63"/>
      <c r="H600" s="63"/>
      <c r="I600" s="63"/>
      <c r="J600" s="63"/>
      <c r="K600" s="63"/>
      <c r="L600" s="63"/>
      <c r="M600" s="168"/>
      <c r="N600" s="63"/>
      <c r="O600" s="64"/>
      <c r="P600" s="64"/>
      <c r="Q600" s="64"/>
      <c r="R600" s="64"/>
      <c r="S600" s="64"/>
      <c r="T600" s="64"/>
      <c r="U600" s="64"/>
      <c r="V600" s="64"/>
      <c r="W600" s="64"/>
      <c r="X600" s="64"/>
      <c r="Y600" s="137"/>
      <c r="Z600" s="137"/>
      <c r="AA600" s="137"/>
      <c r="AB600" s="137"/>
      <c r="AC600" s="137"/>
    </row>
    <row r="601" spans="3:29" ht="15.75" customHeight="1">
      <c r="C601" s="63"/>
      <c r="D601" s="63"/>
      <c r="E601" s="63"/>
      <c r="F601" s="63"/>
      <c r="G601" s="63"/>
      <c r="H601" s="63"/>
      <c r="I601" s="63"/>
      <c r="J601" s="63"/>
      <c r="K601" s="63"/>
      <c r="L601" s="63"/>
      <c r="M601" s="168"/>
      <c r="N601" s="63"/>
      <c r="O601" s="64"/>
      <c r="P601" s="64"/>
      <c r="Q601" s="64"/>
      <c r="R601" s="64"/>
      <c r="S601" s="64"/>
      <c r="T601" s="64"/>
      <c r="U601" s="64"/>
      <c r="V601" s="64"/>
      <c r="W601" s="64"/>
      <c r="X601" s="64"/>
      <c r="Y601" s="137"/>
      <c r="Z601" s="137"/>
      <c r="AA601" s="137"/>
      <c r="AB601" s="137"/>
      <c r="AC601" s="137"/>
    </row>
    <row r="602" spans="3:29" ht="15.75" customHeight="1">
      <c r="C602" s="63"/>
      <c r="D602" s="63"/>
      <c r="E602" s="63"/>
      <c r="F602" s="63"/>
      <c r="G602" s="63"/>
      <c r="H602" s="63"/>
      <c r="I602" s="63"/>
      <c r="J602" s="63"/>
      <c r="K602" s="63"/>
      <c r="L602" s="63"/>
      <c r="M602" s="168"/>
      <c r="N602" s="63"/>
      <c r="O602" s="64"/>
      <c r="P602" s="64"/>
      <c r="Q602" s="64"/>
      <c r="R602" s="64"/>
      <c r="S602" s="64"/>
      <c r="T602" s="64"/>
      <c r="U602" s="64"/>
      <c r="V602" s="64"/>
      <c r="W602" s="64"/>
      <c r="X602" s="64"/>
      <c r="Y602" s="137"/>
      <c r="Z602" s="137"/>
      <c r="AA602" s="137"/>
      <c r="AB602" s="137"/>
      <c r="AC602" s="137"/>
    </row>
    <row r="603" spans="3:29" ht="15.75" customHeight="1">
      <c r="C603" s="63"/>
      <c r="D603" s="63"/>
      <c r="E603" s="63"/>
      <c r="F603" s="63"/>
      <c r="G603" s="63"/>
      <c r="H603" s="63"/>
      <c r="I603" s="63"/>
      <c r="J603" s="63"/>
      <c r="K603" s="63"/>
      <c r="L603" s="63"/>
      <c r="M603" s="168"/>
      <c r="N603" s="63"/>
      <c r="O603" s="64"/>
      <c r="P603" s="64"/>
      <c r="Q603" s="64"/>
      <c r="R603" s="64"/>
      <c r="S603" s="64"/>
      <c r="T603" s="64"/>
      <c r="U603" s="64"/>
      <c r="V603" s="64"/>
      <c r="W603" s="64"/>
      <c r="X603" s="64"/>
      <c r="Y603" s="137"/>
      <c r="Z603" s="137"/>
      <c r="AA603" s="137"/>
      <c r="AB603" s="137"/>
      <c r="AC603" s="137"/>
    </row>
    <row r="604" spans="3:29" ht="15.75" customHeight="1">
      <c r="C604" s="63"/>
      <c r="D604" s="63"/>
      <c r="E604" s="63"/>
      <c r="F604" s="63"/>
      <c r="G604" s="63"/>
      <c r="H604" s="63"/>
      <c r="I604" s="63"/>
      <c r="J604" s="63"/>
      <c r="K604" s="63"/>
      <c r="L604" s="63"/>
      <c r="M604" s="168"/>
      <c r="N604" s="63"/>
      <c r="O604" s="64"/>
      <c r="P604" s="64"/>
      <c r="Q604" s="64"/>
      <c r="R604" s="64"/>
      <c r="S604" s="64"/>
      <c r="T604" s="64"/>
      <c r="U604" s="64"/>
      <c r="V604" s="64"/>
      <c r="W604" s="64"/>
      <c r="X604" s="64"/>
      <c r="Y604" s="137"/>
      <c r="Z604" s="137"/>
      <c r="AA604" s="137"/>
      <c r="AB604" s="137"/>
      <c r="AC604" s="137"/>
    </row>
    <row r="605" spans="3:29" ht="15.75" customHeight="1">
      <c r="C605" s="63"/>
      <c r="D605" s="63"/>
      <c r="E605" s="63"/>
      <c r="F605" s="63"/>
      <c r="G605" s="63"/>
      <c r="H605" s="63"/>
      <c r="I605" s="63"/>
      <c r="J605" s="63"/>
      <c r="K605" s="63"/>
      <c r="L605" s="63"/>
      <c r="M605" s="168"/>
      <c r="N605" s="63"/>
      <c r="O605" s="64"/>
      <c r="P605" s="64"/>
      <c r="Q605" s="64"/>
      <c r="R605" s="64"/>
      <c r="S605" s="64"/>
      <c r="T605" s="64"/>
      <c r="U605" s="64"/>
      <c r="V605" s="64"/>
      <c r="W605" s="64"/>
      <c r="X605" s="64"/>
      <c r="Y605" s="137"/>
      <c r="Z605" s="137"/>
      <c r="AA605" s="137"/>
      <c r="AB605" s="137"/>
      <c r="AC605" s="137"/>
    </row>
    <row r="606" spans="3:29" ht="15.75" customHeight="1">
      <c r="C606" s="63"/>
      <c r="D606" s="63"/>
      <c r="E606" s="63"/>
      <c r="F606" s="63"/>
      <c r="G606" s="63"/>
      <c r="H606" s="63"/>
      <c r="I606" s="63"/>
      <c r="J606" s="63"/>
      <c r="K606" s="63"/>
      <c r="L606" s="63"/>
      <c r="M606" s="168"/>
      <c r="N606" s="63"/>
      <c r="O606" s="64"/>
      <c r="P606" s="64"/>
      <c r="Q606" s="64"/>
      <c r="R606" s="64"/>
      <c r="S606" s="64"/>
      <c r="T606" s="64"/>
      <c r="U606" s="64"/>
      <c r="V606" s="64"/>
      <c r="W606" s="64"/>
      <c r="X606" s="64"/>
      <c r="Y606" s="137"/>
      <c r="Z606" s="137"/>
      <c r="AA606" s="137"/>
      <c r="AB606" s="137"/>
      <c r="AC606" s="137"/>
    </row>
    <row r="607" spans="3:29" ht="15.75" customHeight="1">
      <c r="C607" s="63"/>
      <c r="D607" s="63"/>
      <c r="E607" s="63"/>
      <c r="F607" s="63"/>
      <c r="G607" s="63"/>
      <c r="H607" s="63"/>
      <c r="I607" s="63"/>
      <c r="J607" s="63"/>
      <c r="K607" s="63"/>
      <c r="L607" s="63"/>
      <c r="M607" s="168"/>
      <c r="N607" s="63"/>
      <c r="O607" s="64"/>
      <c r="P607" s="64"/>
      <c r="Q607" s="64"/>
      <c r="R607" s="64"/>
      <c r="S607" s="64"/>
      <c r="T607" s="64"/>
      <c r="U607" s="64"/>
      <c r="V607" s="64"/>
      <c r="W607" s="64"/>
      <c r="X607" s="64"/>
      <c r="Y607" s="137"/>
      <c r="Z607" s="137"/>
      <c r="AA607" s="137"/>
      <c r="AB607" s="137"/>
      <c r="AC607" s="137"/>
    </row>
    <row r="608" spans="3:29" ht="15.75" customHeight="1">
      <c r="C608" s="63"/>
      <c r="D608" s="63"/>
      <c r="E608" s="63"/>
      <c r="F608" s="63"/>
      <c r="G608" s="63"/>
      <c r="H608" s="63"/>
      <c r="I608" s="63"/>
      <c r="J608" s="63"/>
      <c r="K608" s="63"/>
      <c r="L608" s="63"/>
      <c r="M608" s="168"/>
      <c r="N608" s="63"/>
      <c r="O608" s="64"/>
      <c r="P608" s="64"/>
      <c r="Q608" s="64"/>
      <c r="R608" s="64"/>
      <c r="S608" s="64"/>
      <c r="T608" s="64"/>
      <c r="U608" s="64"/>
      <c r="V608" s="64"/>
      <c r="W608" s="64"/>
      <c r="X608" s="64"/>
      <c r="Y608" s="137"/>
      <c r="Z608" s="137"/>
      <c r="AA608" s="137"/>
      <c r="AB608" s="137"/>
      <c r="AC608" s="137"/>
    </row>
    <row r="609" spans="3:29" ht="15.75" customHeight="1">
      <c r="C609" s="63"/>
      <c r="D609" s="63"/>
      <c r="E609" s="63"/>
      <c r="F609" s="63"/>
      <c r="G609" s="63"/>
      <c r="H609" s="63"/>
      <c r="I609" s="63"/>
      <c r="J609" s="63"/>
      <c r="K609" s="63"/>
      <c r="L609" s="63"/>
      <c r="M609" s="168"/>
      <c r="N609" s="63"/>
      <c r="O609" s="64"/>
      <c r="P609" s="64"/>
      <c r="Q609" s="64"/>
      <c r="R609" s="64"/>
      <c r="S609" s="64"/>
      <c r="T609" s="64"/>
      <c r="U609" s="64"/>
      <c r="V609" s="64"/>
      <c r="W609" s="64"/>
      <c r="X609" s="64"/>
      <c r="Y609" s="137"/>
      <c r="Z609" s="137"/>
      <c r="AA609" s="137"/>
      <c r="AB609" s="137"/>
      <c r="AC609" s="137"/>
    </row>
    <row r="610" spans="3:29" ht="15.75" customHeight="1">
      <c r="C610" s="63"/>
      <c r="D610" s="63"/>
      <c r="E610" s="63"/>
      <c r="F610" s="63"/>
      <c r="G610" s="63"/>
      <c r="H610" s="63"/>
      <c r="I610" s="63"/>
      <c r="J610" s="63"/>
      <c r="K610" s="63"/>
      <c r="L610" s="63"/>
      <c r="M610" s="168"/>
      <c r="N610" s="63"/>
      <c r="O610" s="64"/>
      <c r="P610" s="64"/>
      <c r="Q610" s="64"/>
      <c r="R610" s="64"/>
      <c r="S610" s="64"/>
      <c r="T610" s="64"/>
      <c r="U610" s="64"/>
      <c r="V610" s="64"/>
      <c r="W610" s="64"/>
      <c r="X610" s="64"/>
      <c r="Y610" s="137"/>
      <c r="Z610" s="137"/>
      <c r="AA610" s="137"/>
      <c r="AB610" s="137"/>
      <c r="AC610" s="137"/>
    </row>
    <row r="611" spans="3:29" ht="15.75" customHeight="1">
      <c r="C611" s="63"/>
      <c r="D611" s="63"/>
      <c r="E611" s="63"/>
      <c r="F611" s="63"/>
      <c r="G611" s="63"/>
      <c r="H611" s="63"/>
      <c r="I611" s="63"/>
      <c r="J611" s="63"/>
      <c r="K611" s="63"/>
      <c r="L611" s="63"/>
      <c r="M611" s="168"/>
      <c r="N611" s="63"/>
      <c r="O611" s="64"/>
      <c r="P611" s="64"/>
      <c r="Q611" s="64"/>
      <c r="R611" s="64"/>
      <c r="S611" s="64"/>
      <c r="T611" s="64"/>
      <c r="U611" s="64"/>
      <c r="V611" s="64"/>
      <c r="W611" s="64"/>
      <c r="X611" s="64"/>
      <c r="Y611" s="137"/>
      <c r="Z611" s="137"/>
      <c r="AA611" s="137"/>
      <c r="AB611" s="137"/>
      <c r="AC611" s="137"/>
    </row>
    <row r="612" spans="3:29" ht="15.75" customHeight="1">
      <c r="C612" s="63"/>
      <c r="D612" s="63"/>
      <c r="E612" s="63"/>
      <c r="F612" s="63"/>
      <c r="G612" s="63"/>
      <c r="H612" s="63"/>
      <c r="I612" s="63"/>
      <c r="J612" s="63"/>
      <c r="K612" s="63"/>
      <c r="L612" s="63"/>
      <c r="M612" s="168"/>
      <c r="N612" s="63"/>
      <c r="O612" s="64"/>
      <c r="P612" s="64"/>
      <c r="Q612" s="64"/>
      <c r="R612" s="64"/>
      <c r="S612" s="64"/>
      <c r="T612" s="64"/>
      <c r="U612" s="64"/>
      <c r="V612" s="64"/>
      <c r="W612" s="64"/>
      <c r="X612" s="64"/>
      <c r="Y612" s="137"/>
      <c r="Z612" s="137"/>
      <c r="AA612" s="137"/>
      <c r="AB612" s="137"/>
      <c r="AC612" s="137"/>
    </row>
    <row r="613" spans="3:29" ht="15.75" customHeight="1">
      <c r="C613" s="63"/>
      <c r="D613" s="63"/>
      <c r="E613" s="63"/>
      <c r="F613" s="63"/>
      <c r="G613" s="63"/>
      <c r="H613" s="63"/>
      <c r="I613" s="63"/>
      <c r="J613" s="63"/>
      <c r="K613" s="63"/>
      <c r="L613" s="63"/>
      <c r="M613" s="168"/>
      <c r="N613" s="63"/>
      <c r="O613" s="64"/>
      <c r="P613" s="64"/>
      <c r="Q613" s="64"/>
      <c r="R613" s="64"/>
      <c r="S613" s="64"/>
      <c r="T613" s="64"/>
      <c r="U613" s="64"/>
      <c r="V613" s="64"/>
      <c r="W613" s="64"/>
      <c r="X613" s="64"/>
      <c r="Y613" s="137"/>
      <c r="Z613" s="137"/>
      <c r="AA613" s="137"/>
      <c r="AB613" s="137"/>
      <c r="AC613" s="137"/>
    </row>
    <row r="614" spans="3:29" ht="15.75" customHeight="1">
      <c r="C614" s="63"/>
      <c r="D614" s="63"/>
      <c r="E614" s="63"/>
      <c r="F614" s="63"/>
      <c r="G614" s="63"/>
      <c r="H614" s="63"/>
      <c r="I614" s="63"/>
      <c r="J614" s="63"/>
      <c r="K614" s="63"/>
      <c r="L614" s="63"/>
      <c r="M614" s="168"/>
      <c r="N614" s="63"/>
      <c r="O614" s="64"/>
      <c r="P614" s="64"/>
      <c r="Q614" s="64"/>
      <c r="R614" s="64"/>
      <c r="S614" s="64"/>
      <c r="T614" s="64"/>
      <c r="U614" s="64"/>
      <c r="V614" s="64"/>
      <c r="W614" s="64"/>
      <c r="X614" s="64"/>
      <c r="Y614" s="137"/>
      <c r="Z614" s="137"/>
      <c r="AA614" s="137"/>
      <c r="AB614" s="137"/>
      <c r="AC614" s="137"/>
    </row>
    <row r="615" spans="3:29" ht="15.75" customHeight="1">
      <c r="C615" s="63"/>
      <c r="D615" s="63"/>
      <c r="E615" s="63"/>
      <c r="F615" s="63"/>
      <c r="G615" s="63"/>
      <c r="H615" s="63"/>
      <c r="I615" s="63"/>
      <c r="J615" s="63"/>
      <c r="K615" s="63"/>
      <c r="L615" s="63"/>
      <c r="M615" s="168"/>
      <c r="N615" s="63"/>
      <c r="O615" s="64"/>
      <c r="P615" s="64"/>
      <c r="Q615" s="64"/>
      <c r="R615" s="64"/>
      <c r="S615" s="64"/>
      <c r="T615" s="64"/>
      <c r="U615" s="64"/>
      <c r="V615" s="64"/>
      <c r="W615" s="64"/>
      <c r="X615" s="64"/>
      <c r="Y615" s="137"/>
      <c r="Z615" s="137"/>
      <c r="AA615" s="137"/>
      <c r="AB615" s="137"/>
      <c r="AC615" s="137"/>
    </row>
    <row r="616" spans="3:29" ht="15.75" customHeight="1">
      <c r="C616" s="63"/>
      <c r="D616" s="63"/>
      <c r="E616" s="63"/>
      <c r="F616" s="63"/>
      <c r="G616" s="63"/>
      <c r="H616" s="63"/>
      <c r="I616" s="63"/>
      <c r="J616" s="63"/>
      <c r="K616" s="63"/>
      <c r="L616" s="63"/>
      <c r="M616" s="168"/>
      <c r="N616" s="63"/>
      <c r="O616" s="64"/>
      <c r="P616" s="64"/>
      <c r="Q616" s="64"/>
      <c r="R616" s="64"/>
      <c r="S616" s="64"/>
      <c r="T616" s="64"/>
      <c r="U616" s="64"/>
      <c r="V616" s="64"/>
      <c r="W616" s="64"/>
      <c r="X616" s="64"/>
      <c r="Y616" s="137"/>
      <c r="Z616" s="137"/>
      <c r="AA616" s="137"/>
      <c r="AB616" s="137"/>
      <c r="AC616" s="137"/>
    </row>
    <row r="617" spans="3:29" ht="15.75" customHeight="1">
      <c r="C617" s="63"/>
      <c r="D617" s="63"/>
      <c r="E617" s="63"/>
      <c r="F617" s="63"/>
      <c r="G617" s="63"/>
      <c r="H617" s="63"/>
      <c r="I617" s="63"/>
      <c r="J617" s="63"/>
      <c r="K617" s="63"/>
      <c r="L617" s="63"/>
      <c r="M617" s="168"/>
      <c r="N617" s="63"/>
      <c r="O617" s="64"/>
      <c r="P617" s="64"/>
      <c r="Q617" s="64"/>
      <c r="R617" s="64"/>
      <c r="S617" s="64"/>
      <c r="T617" s="64"/>
      <c r="U617" s="64"/>
      <c r="V617" s="64"/>
      <c r="W617" s="64"/>
      <c r="X617" s="64"/>
      <c r="Y617" s="137"/>
      <c r="Z617" s="137"/>
      <c r="AA617" s="137"/>
      <c r="AB617" s="137"/>
      <c r="AC617" s="137"/>
    </row>
    <row r="618" spans="3:29" ht="15.75" customHeight="1">
      <c r="C618" s="63"/>
      <c r="D618" s="63"/>
      <c r="E618" s="63"/>
      <c r="F618" s="63"/>
      <c r="G618" s="63"/>
      <c r="H618" s="63"/>
      <c r="I618" s="63"/>
      <c r="J618" s="63"/>
      <c r="K618" s="63"/>
      <c r="L618" s="63"/>
      <c r="M618" s="168"/>
      <c r="N618" s="63"/>
      <c r="O618" s="64"/>
      <c r="P618" s="64"/>
      <c r="Q618" s="64"/>
      <c r="R618" s="64"/>
      <c r="S618" s="64"/>
      <c r="T618" s="64"/>
      <c r="U618" s="64"/>
      <c r="V618" s="64"/>
      <c r="W618" s="64"/>
      <c r="X618" s="64"/>
      <c r="Y618" s="137"/>
      <c r="Z618" s="137"/>
      <c r="AA618" s="137"/>
      <c r="AB618" s="137"/>
      <c r="AC618" s="137"/>
    </row>
    <row r="619" spans="3:29" ht="15.75" customHeight="1">
      <c r="C619" s="63"/>
      <c r="D619" s="63"/>
      <c r="E619" s="63"/>
      <c r="F619" s="63"/>
      <c r="G619" s="63"/>
      <c r="H619" s="63"/>
      <c r="I619" s="63"/>
      <c r="J619" s="63"/>
      <c r="K619" s="63"/>
      <c r="L619" s="63"/>
      <c r="M619" s="168"/>
      <c r="N619" s="63"/>
      <c r="O619" s="64"/>
      <c r="P619" s="64"/>
      <c r="Q619" s="64"/>
      <c r="R619" s="64"/>
      <c r="S619" s="64"/>
      <c r="T619" s="64"/>
      <c r="U619" s="64"/>
      <c r="V619" s="64"/>
      <c r="W619" s="64"/>
      <c r="X619" s="64"/>
      <c r="Y619" s="137"/>
      <c r="Z619" s="137"/>
      <c r="AA619" s="137"/>
      <c r="AB619" s="137"/>
      <c r="AC619" s="137"/>
    </row>
    <row r="620" spans="3:29" ht="15.75" customHeight="1">
      <c r="C620" s="63"/>
      <c r="D620" s="63"/>
      <c r="E620" s="63"/>
      <c r="F620" s="63"/>
      <c r="G620" s="63"/>
      <c r="H620" s="63"/>
      <c r="I620" s="63"/>
      <c r="J620" s="63"/>
      <c r="K620" s="63"/>
      <c r="L620" s="63"/>
      <c r="M620" s="168"/>
      <c r="N620" s="63"/>
      <c r="O620" s="64"/>
      <c r="P620" s="64"/>
      <c r="Q620" s="64"/>
      <c r="R620" s="64"/>
      <c r="S620" s="64"/>
      <c r="T620" s="64"/>
      <c r="U620" s="64"/>
      <c r="V620" s="64"/>
      <c r="W620" s="64"/>
      <c r="X620" s="64"/>
      <c r="Y620" s="137"/>
      <c r="Z620" s="137"/>
      <c r="AA620" s="137"/>
      <c r="AB620" s="137"/>
      <c r="AC620" s="137"/>
    </row>
    <row r="621" spans="3:29" ht="15.75" customHeight="1">
      <c r="C621" s="63"/>
      <c r="D621" s="63"/>
      <c r="E621" s="63"/>
      <c r="F621" s="63"/>
      <c r="G621" s="63"/>
      <c r="H621" s="63"/>
      <c r="I621" s="63"/>
      <c r="J621" s="63"/>
      <c r="K621" s="63"/>
      <c r="L621" s="63"/>
      <c r="M621" s="168"/>
      <c r="N621" s="63"/>
      <c r="O621" s="64"/>
      <c r="P621" s="64"/>
      <c r="Q621" s="64"/>
      <c r="R621" s="64"/>
      <c r="S621" s="64"/>
      <c r="T621" s="64"/>
      <c r="U621" s="64"/>
      <c r="V621" s="64"/>
      <c r="W621" s="64"/>
      <c r="X621" s="64"/>
      <c r="Y621" s="137"/>
      <c r="Z621" s="137"/>
      <c r="AA621" s="137"/>
      <c r="AB621" s="137"/>
      <c r="AC621" s="137"/>
    </row>
    <row r="622" spans="3:29" ht="15.75" customHeight="1">
      <c r="C622" s="63"/>
      <c r="D622" s="63"/>
      <c r="E622" s="63"/>
      <c r="F622" s="63"/>
      <c r="G622" s="63"/>
      <c r="H622" s="63"/>
      <c r="I622" s="63"/>
      <c r="J622" s="63"/>
      <c r="K622" s="63"/>
      <c r="L622" s="63"/>
      <c r="M622" s="168"/>
      <c r="N622" s="63"/>
      <c r="O622" s="64"/>
      <c r="P622" s="64"/>
      <c r="Q622" s="64"/>
      <c r="R622" s="64"/>
      <c r="S622" s="64"/>
      <c r="T622" s="64"/>
      <c r="U622" s="64"/>
      <c r="V622" s="64"/>
      <c r="W622" s="64"/>
      <c r="X622" s="64"/>
      <c r="Y622" s="137"/>
      <c r="Z622" s="137"/>
      <c r="AA622" s="137"/>
      <c r="AB622" s="137"/>
      <c r="AC622" s="137"/>
    </row>
    <row r="623" spans="3:29" ht="15.75" customHeight="1">
      <c r="C623" s="63"/>
      <c r="D623" s="63"/>
      <c r="E623" s="63"/>
      <c r="F623" s="63"/>
      <c r="G623" s="63"/>
      <c r="H623" s="63"/>
      <c r="I623" s="63"/>
      <c r="J623" s="63"/>
      <c r="K623" s="63"/>
      <c r="L623" s="63"/>
      <c r="M623" s="168"/>
      <c r="N623" s="63"/>
      <c r="O623" s="64"/>
      <c r="P623" s="64"/>
      <c r="Q623" s="64"/>
      <c r="R623" s="64"/>
      <c r="S623" s="64"/>
      <c r="T623" s="64"/>
      <c r="U623" s="64"/>
      <c r="V623" s="64"/>
      <c r="W623" s="64"/>
      <c r="X623" s="64"/>
      <c r="Y623" s="137"/>
      <c r="Z623" s="137"/>
      <c r="AA623" s="137"/>
      <c r="AB623" s="137"/>
      <c r="AC623" s="137"/>
    </row>
    <row r="624" spans="3:29" ht="15.75" customHeight="1">
      <c r="C624" s="63"/>
      <c r="D624" s="63"/>
      <c r="E624" s="63"/>
      <c r="F624" s="63"/>
      <c r="G624" s="63"/>
      <c r="H624" s="63"/>
      <c r="I624" s="63"/>
      <c r="J624" s="63"/>
      <c r="K624" s="63"/>
      <c r="L624" s="63"/>
      <c r="M624" s="168"/>
      <c r="N624" s="63"/>
      <c r="O624" s="64"/>
      <c r="P624" s="64"/>
      <c r="Q624" s="64"/>
      <c r="R624" s="64"/>
      <c r="S624" s="64"/>
      <c r="T624" s="64"/>
      <c r="U624" s="64"/>
      <c r="V624" s="64"/>
      <c r="W624" s="64"/>
      <c r="X624" s="64"/>
      <c r="Y624" s="137"/>
      <c r="Z624" s="137"/>
      <c r="AA624" s="137"/>
      <c r="AB624" s="137"/>
      <c r="AC624" s="137"/>
    </row>
    <row r="625" spans="3:29" ht="15.75" customHeight="1">
      <c r="C625" s="63"/>
      <c r="D625" s="63"/>
      <c r="E625" s="63"/>
      <c r="F625" s="63"/>
      <c r="G625" s="63"/>
      <c r="H625" s="63"/>
      <c r="I625" s="63"/>
      <c r="J625" s="63"/>
      <c r="K625" s="63"/>
      <c r="L625" s="63"/>
      <c r="M625" s="168"/>
      <c r="N625" s="63"/>
      <c r="O625" s="64"/>
      <c r="P625" s="64"/>
      <c r="Q625" s="64"/>
      <c r="R625" s="64"/>
      <c r="S625" s="64"/>
      <c r="T625" s="64"/>
      <c r="U625" s="64"/>
      <c r="V625" s="64"/>
      <c r="W625" s="64"/>
      <c r="X625" s="64"/>
      <c r="Y625" s="137"/>
      <c r="Z625" s="137"/>
      <c r="AA625" s="137"/>
      <c r="AB625" s="137"/>
      <c r="AC625" s="137"/>
    </row>
    <row r="626" spans="3:29" ht="15.75" customHeight="1">
      <c r="C626" s="63"/>
      <c r="D626" s="63"/>
      <c r="E626" s="63"/>
      <c r="F626" s="63"/>
      <c r="G626" s="63"/>
      <c r="H626" s="63"/>
      <c r="I626" s="63"/>
      <c r="J626" s="63"/>
      <c r="K626" s="63"/>
      <c r="L626" s="63"/>
      <c r="M626" s="168"/>
      <c r="N626" s="63"/>
      <c r="O626" s="64"/>
      <c r="P626" s="64"/>
      <c r="Q626" s="64"/>
      <c r="R626" s="64"/>
      <c r="S626" s="64"/>
      <c r="T626" s="64"/>
      <c r="U626" s="64"/>
      <c r="V626" s="64"/>
      <c r="W626" s="64"/>
      <c r="X626" s="64"/>
      <c r="Y626" s="137"/>
      <c r="Z626" s="137"/>
      <c r="AA626" s="137"/>
      <c r="AB626" s="137"/>
      <c r="AC626" s="137"/>
    </row>
    <row r="627" spans="3:29" ht="15.75" customHeight="1">
      <c r="C627" s="63"/>
      <c r="D627" s="63"/>
      <c r="E627" s="63"/>
      <c r="F627" s="63"/>
      <c r="G627" s="63"/>
      <c r="H627" s="63"/>
      <c r="I627" s="63"/>
      <c r="J627" s="63"/>
      <c r="K627" s="63"/>
      <c r="L627" s="63"/>
      <c r="M627" s="168"/>
      <c r="N627" s="63"/>
      <c r="O627" s="64"/>
      <c r="P627" s="64"/>
      <c r="Q627" s="64"/>
      <c r="R627" s="64"/>
      <c r="S627" s="64"/>
      <c r="T627" s="64"/>
      <c r="U627" s="64"/>
      <c r="V627" s="64"/>
      <c r="W627" s="64"/>
      <c r="X627" s="64"/>
      <c r="Y627" s="137"/>
      <c r="Z627" s="137"/>
      <c r="AA627" s="137"/>
      <c r="AB627" s="137"/>
      <c r="AC627" s="137"/>
    </row>
    <row r="628" spans="3:29" ht="15.75" customHeight="1">
      <c r="C628" s="63"/>
      <c r="D628" s="63"/>
      <c r="E628" s="63"/>
      <c r="F628" s="63"/>
      <c r="G628" s="63"/>
      <c r="H628" s="63"/>
      <c r="I628" s="63"/>
      <c r="J628" s="63"/>
      <c r="K628" s="63"/>
      <c r="L628" s="63"/>
      <c r="M628" s="168"/>
      <c r="N628" s="63"/>
      <c r="O628" s="64"/>
      <c r="P628" s="64"/>
      <c r="Q628" s="64"/>
      <c r="R628" s="64"/>
      <c r="S628" s="64"/>
      <c r="T628" s="64"/>
      <c r="U628" s="64"/>
      <c r="V628" s="64"/>
      <c r="W628" s="64"/>
      <c r="X628" s="64"/>
      <c r="Y628" s="137"/>
      <c r="Z628" s="137"/>
      <c r="AA628" s="137"/>
      <c r="AB628" s="137"/>
      <c r="AC628" s="137"/>
    </row>
    <row r="629" spans="3:29" ht="15.75" customHeight="1">
      <c r="C629" s="63"/>
      <c r="D629" s="63"/>
      <c r="E629" s="63"/>
      <c r="F629" s="63"/>
      <c r="G629" s="63"/>
      <c r="H629" s="63"/>
      <c r="I629" s="63"/>
      <c r="J629" s="63"/>
      <c r="K629" s="63"/>
      <c r="L629" s="63"/>
      <c r="M629" s="168"/>
      <c r="N629" s="63"/>
      <c r="O629" s="64"/>
      <c r="P629" s="64"/>
      <c r="Q629" s="64"/>
      <c r="R629" s="64"/>
      <c r="S629" s="64"/>
      <c r="T629" s="64"/>
      <c r="U629" s="64"/>
      <c r="V629" s="64"/>
      <c r="W629" s="64"/>
      <c r="X629" s="64"/>
      <c r="Y629" s="137"/>
      <c r="Z629" s="137"/>
      <c r="AA629" s="137"/>
      <c r="AB629" s="137"/>
      <c r="AC629" s="137"/>
    </row>
    <row r="630" spans="3:29" ht="15.75" customHeight="1">
      <c r="C630" s="63"/>
      <c r="D630" s="63"/>
      <c r="E630" s="63"/>
      <c r="F630" s="63"/>
      <c r="G630" s="63"/>
      <c r="H630" s="63"/>
      <c r="I630" s="63"/>
      <c r="J630" s="63"/>
      <c r="K630" s="63"/>
      <c r="L630" s="63"/>
      <c r="M630" s="168"/>
      <c r="N630" s="63"/>
      <c r="O630" s="64"/>
      <c r="P630" s="64"/>
      <c r="Q630" s="64"/>
      <c r="R630" s="64"/>
      <c r="S630" s="64"/>
      <c r="T630" s="64"/>
      <c r="U630" s="64"/>
      <c r="V630" s="64"/>
      <c r="W630" s="64"/>
      <c r="X630" s="64"/>
      <c r="Y630" s="137"/>
      <c r="Z630" s="137"/>
      <c r="AA630" s="137"/>
      <c r="AB630" s="137"/>
      <c r="AC630" s="137"/>
    </row>
    <row r="631" spans="3:29" ht="15.75" customHeight="1">
      <c r="C631" s="63"/>
      <c r="D631" s="63"/>
      <c r="E631" s="63"/>
      <c r="F631" s="63"/>
      <c r="G631" s="63"/>
      <c r="H631" s="63"/>
      <c r="I631" s="63"/>
      <c r="J631" s="63"/>
      <c r="K631" s="63"/>
      <c r="L631" s="63"/>
      <c r="M631" s="168"/>
      <c r="N631" s="63"/>
      <c r="O631" s="64"/>
      <c r="P631" s="64"/>
      <c r="Q631" s="64"/>
      <c r="R631" s="64"/>
      <c r="S631" s="64"/>
      <c r="T631" s="64"/>
      <c r="U631" s="64"/>
      <c r="V631" s="64"/>
      <c r="W631" s="64"/>
      <c r="X631" s="64"/>
      <c r="Y631" s="137"/>
      <c r="Z631" s="137"/>
      <c r="AA631" s="137"/>
      <c r="AB631" s="137"/>
      <c r="AC631" s="137"/>
    </row>
    <row r="632" spans="3:29" ht="15.75" customHeight="1">
      <c r="C632" s="63"/>
      <c r="D632" s="63"/>
      <c r="E632" s="63"/>
      <c r="F632" s="63"/>
      <c r="G632" s="63"/>
      <c r="H632" s="63"/>
      <c r="I632" s="63"/>
      <c r="J632" s="63"/>
      <c r="K632" s="63"/>
      <c r="L632" s="63"/>
      <c r="M632" s="168"/>
      <c r="N632" s="63"/>
      <c r="O632" s="64"/>
      <c r="P632" s="64"/>
      <c r="Q632" s="64"/>
      <c r="R632" s="64"/>
      <c r="S632" s="64"/>
      <c r="T632" s="64"/>
      <c r="U632" s="64"/>
      <c r="V632" s="64"/>
      <c r="W632" s="64"/>
      <c r="X632" s="64"/>
      <c r="Y632" s="137"/>
      <c r="Z632" s="137"/>
      <c r="AA632" s="137"/>
      <c r="AB632" s="137"/>
      <c r="AC632" s="137"/>
    </row>
    <row r="633" spans="3:29" ht="15.75" customHeight="1">
      <c r="C633" s="63"/>
      <c r="D633" s="63"/>
      <c r="E633" s="63"/>
      <c r="F633" s="63"/>
      <c r="G633" s="63"/>
      <c r="H633" s="63"/>
      <c r="I633" s="63"/>
      <c r="J633" s="63"/>
      <c r="K633" s="63"/>
      <c r="L633" s="63"/>
      <c r="M633" s="168"/>
      <c r="N633" s="63"/>
      <c r="O633" s="64"/>
      <c r="P633" s="64"/>
      <c r="Q633" s="64"/>
      <c r="R633" s="64"/>
      <c r="S633" s="64"/>
      <c r="T633" s="64"/>
      <c r="U633" s="64"/>
      <c r="V633" s="64"/>
      <c r="W633" s="64"/>
      <c r="X633" s="64"/>
      <c r="Y633" s="137"/>
      <c r="Z633" s="137"/>
      <c r="AA633" s="137"/>
      <c r="AB633" s="137"/>
      <c r="AC633" s="137"/>
    </row>
    <row r="634" spans="3:29" ht="15.75" customHeight="1">
      <c r="C634" s="63"/>
      <c r="D634" s="63"/>
      <c r="E634" s="63"/>
      <c r="F634" s="63"/>
      <c r="G634" s="63"/>
      <c r="H634" s="63"/>
      <c r="I634" s="63"/>
      <c r="J634" s="63"/>
      <c r="K634" s="63"/>
      <c r="L634" s="63"/>
      <c r="M634" s="168"/>
      <c r="N634" s="63"/>
      <c r="O634" s="64"/>
      <c r="P634" s="64"/>
      <c r="Q634" s="64"/>
      <c r="R634" s="64"/>
      <c r="S634" s="64"/>
      <c r="T634" s="64"/>
      <c r="U634" s="64"/>
      <c r="V634" s="64"/>
      <c r="W634" s="64"/>
      <c r="X634" s="64"/>
      <c r="Y634" s="137"/>
      <c r="Z634" s="137"/>
      <c r="AA634" s="137"/>
      <c r="AB634" s="137"/>
      <c r="AC634" s="137"/>
    </row>
    <row r="635" spans="3:29" ht="15.75" customHeight="1">
      <c r="C635" s="63"/>
      <c r="D635" s="63"/>
      <c r="E635" s="63"/>
      <c r="F635" s="63"/>
      <c r="G635" s="63"/>
      <c r="H635" s="63"/>
      <c r="I635" s="63"/>
      <c r="J635" s="63"/>
      <c r="K635" s="63"/>
      <c r="L635" s="63"/>
      <c r="M635" s="168"/>
      <c r="N635" s="63"/>
      <c r="O635" s="64"/>
      <c r="P635" s="64"/>
      <c r="Q635" s="64"/>
      <c r="R635" s="64"/>
      <c r="S635" s="64"/>
      <c r="T635" s="64"/>
      <c r="U635" s="64"/>
      <c r="V635" s="64"/>
      <c r="W635" s="64"/>
      <c r="X635" s="64"/>
      <c r="Y635" s="137"/>
      <c r="Z635" s="137"/>
      <c r="AA635" s="137"/>
      <c r="AB635" s="137"/>
      <c r="AC635" s="137"/>
    </row>
    <row r="636" spans="3:29" ht="15.75" customHeight="1">
      <c r="C636" s="63"/>
      <c r="D636" s="63"/>
      <c r="E636" s="63"/>
      <c r="F636" s="63"/>
      <c r="G636" s="63"/>
      <c r="H636" s="63"/>
      <c r="I636" s="63"/>
      <c r="J636" s="63"/>
      <c r="K636" s="63"/>
      <c r="L636" s="63"/>
      <c r="M636" s="168"/>
      <c r="N636" s="63"/>
      <c r="O636" s="64"/>
      <c r="P636" s="64"/>
      <c r="Q636" s="64"/>
      <c r="R636" s="64"/>
      <c r="S636" s="64"/>
      <c r="T636" s="64"/>
      <c r="U636" s="64"/>
      <c r="V636" s="64"/>
      <c r="W636" s="64"/>
      <c r="X636" s="64"/>
      <c r="Y636" s="137"/>
      <c r="Z636" s="137"/>
      <c r="AA636" s="137"/>
      <c r="AB636" s="137"/>
      <c r="AC636" s="137"/>
    </row>
    <row r="637" spans="3:29" ht="15.75" customHeight="1">
      <c r="C637" s="63"/>
      <c r="D637" s="63"/>
      <c r="E637" s="63"/>
      <c r="F637" s="63"/>
      <c r="G637" s="63"/>
      <c r="H637" s="63"/>
      <c r="I637" s="63"/>
      <c r="J637" s="63"/>
      <c r="K637" s="63"/>
      <c r="L637" s="63"/>
      <c r="M637" s="168"/>
      <c r="N637" s="63"/>
      <c r="O637" s="64"/>
      <c r="P637" s="64"/>
      <c r="Q637" s="64"/>
      <c r="R637" s="64"/>
      <c r="S637" s="64"/>
      <c r="T637" s="64"/>
      <c r="U637" s="64"/>
      <c r="V637" s="64"/>
      <c r="W637" s="64"/>
      <c r="X637" s="64"/>
      <c r="Y637" s="137"/>
      <c r="Z637" s="137"/>
      <c r="AA637" s="137"/>
      <c r="AB637" s="137"/>
      <c r="AC637" s="137"/>
    </row>
    <row r="638" spans="3:29" ht="15.75" customHeight="1">
      <c r="C638" s="63"/>
      <c r="D638" s="63"/>
      <c r="E638" s="63"/>
      <c r="F638" s="63"/>
      <c r="G638" s="63"/>
      <c r="H638" s="63"/>
      <c r="I638" s="63"/>
      <c r="J638" s="63"/>
      <c r="K638" s="63"/>
      <c r="L638" s="63"/>
      <c r="M638" s="168"/>
      <c r="N638" s="63"/>
      <c r="O638" s="64"/>
      <c r="P638" s="64"/>
      <c r="Q638" s="64"/>
      <c r="R638" s="64"/>
      <c r="S638" s="64"/>
      <c r="T638" s="64"/>
      <c r="U638" s="64"/>
      <c r="V638" s="64"/>
      <c r="W638" s="64"/>
      <c r="X638" s="64"/>
      <c r="Y638" s="137"/>
      <c r="Z638" s="137"/>
      <c r="AA638" s="137"/>
      <c r="AB638" s="137"/>
      <c r="AC638" s="137"/>
    </row>
    <row r="639" spans="3:29" ht="15.75" customHeight="1">
      <c r="C639" s="63"/>
      <c r="D639" s="63"/>
      <c r="E639" s="63"/>
      <c r="F639" s="63"/>
      <c r="G639" s="63"/>
      <c r="H639" s="63"/>
      <c r="I639" s="63"/>
      <c r="J639" s="63"/>
      <c r="K639" s="63"/>
      <c r="L639" s="63"/>
      <c r="M639" s="168"/>
      <c r="N639" s="63"/>
      <c r="O639" s="64"/>
      <c r="P639" s="64"/>
      <c r="Q639" s="64"/>
      <c r="R639" s="64"/>
      <c r="S639" s="64"/>
      <c r="T639" s="64"/>
      <c r="U639" s="64"/>
      <c r="V639" s="64"/>
      <c r="W639" s="64"/>
      <c r="X639" s="64"/>
      <c r="Y639" s="137"/>
      <c r="Z639" s="137"/>
      <c r="AA639" s="137"/>
      <c r="AB639" s="137"/>
      <c r="AC639" s="137"/>
    </row>
    <row r="640" spans="3:29" ht="15.75" customHeight="1">
      <c r="C640" s="63"/>
      <c r="D640" s="63"/>
      <c r="E640" s="63"/>
      <c r="F640" s="63"/>
      <c r="G640" s="63"/>
      <c r="H640" s="63"/>
      <c r="I640" s="63"/>
      <c r="J640" s="63"/>
      <c r="K640" s="63"/>
      <c r="L640" s="63"/>
      <c r="M640" s="168"/>
      <c r="N640" s="63"/>
      <c r="O640" s="64"/>
      <c r="P640" s="64"/>
      <c r="Q640" s="64"/>
      <c r="R640" s="64"/>
      <c r="S640" s="64"/>
      <c r="T640" s="64"/>
      <c r="U640" s="64"/>
      <c r="V640" s="64"/>
      <c r="W640" s="64"/>
      <c r="X640" s="64"/>
      <c r="Y640" s="137"/>
      <c r="Z640" s="137"/>
      <c r="AA640" s="137"/>
      <c r="AB640" s="137"/>
      <c r="AC640" s="137"/>
    </row>
    <row r="641" spans="3:29" ht="15.75" customHeight="1">
      <c r="C641" s="63"/>
      <c r="D641" s="63"/>
      <c r="E641" s="63"/>
      <c r="F641" s="63"/>
      <c r="G641" s="63"/>
      <c r="H641" s="63"/>
      <c r="I641" s="63"/>
      <c r="J641" s="63"/>
      <c r="K641" s="63"/>
      <c r="L641" s="63"/>
      <c r="M641" s="168"/>
      <c r="N641" s="63"/>
      <c r="O641" s="64"/>
      <c r="P641" s="64"/>
      <c r="Q641" s="64"/>
      <c r="R641" s="64"/>
      <c r="S641" s="64"/>
      <c r="T641" s="64"/>
      <c r="U641" s="64"/>
      <c r="V641" s="64"/>
      <c r="W641" s="64"/>
      <c r="X641" s="64"/>
      <c r="Y641" s="137"/>
      <c r="Z641" s="137"/>
      <c r="AA641" s="137"/>
      <c r="AB641" s="137"/>
      <c r="AC641" s="137"/>
    </row>
    <row r="642" spans="3:29" ht="15.75" customHeight="1">
      <c r="C642" s="63"/>
      <c r="D642" s="63"/>
      <c r="E642" s="63"/>
      <c r="F642" s="63"/>
      <c r="G642" s="63"/>
      <c r="H642" s="63"/>
      <c r="I642" s="63"/>
      <c r="J642" s="63"/>
      <c r="K642" s="63"/>
      <c r="L642" s="63"/>
      <c r="M642" s="168"/>
      <c r="N642" s="63"/>
      <c r="O642" s="64"/>
      <c r="P642" s="64"/>
      <c r="Q642" s="64"/>
      <c r="R642" s="64"/>
      <c r="S642" s="64"/>
      <c r="T642" s="64"/>
      <c r="U642" s="64"/>
      <c r="V642" s="64"/>
      <c r="W642" s="64"/>
      <c r="X642" s="64"/>
      <c r="Y642" s="137"/>
      <c r="Z642" s="137"/>
      <c r="AA642" s="137"/>
      <c r="AB642" s="137"/>
      <c r="AC642" s="137"/>
    </row>
    <row r="643" spans="3:29" ht="15.75" customHeight="1">
      <c r="C643" s="63"/>
      <c r="D643" s="63"/>
      <c r="E643" s="63"/>
      <c r="F643" s="63"/>
      <c r="G643" s="63"/>
      <c r="H643" s="63"/>
      <c r="I643" s="63"/>
      <c r="J643" s="63"/>
      <c r="K643" s="63"/>
      <c r="L643" s="63"/>
      <c r="M643" s="168"/>
      <c r="N643" s="63"/>
      <c r="O643" s="64"/>
      <c r="P643" s="64"/>
      <c r="Q643" s="64"/>
      <c r="R643" s="64"/>
      <c r="S643" s="64"/>
      <c r="T643" s="64"/>
      <c r="U643" s="64"/>
      <c r="V643" s="64"/>
      <c r="W643" s="64"/>
      <c r="X643" s="64"/>
      <c r="Y643" s="137"/>
      <c r="Z643" s="137"/>
      <c r="AA643" s="137"/>
      <c r="AB643" s="137"/>
      <c r="AC643" s="137"/>
    </row>
    <row r="644" spans="3:29" ht="15.75" customHeight="1">
      <c r="C644" s="63"/>
      <c r="D644" s="63"/>
      <c r="E644" s="63"/>
      <c r="F644" s="63"/>
      <c r="G644" s="63"/>
      <c r="H644" s="63"/>
      <c r="I644" s="63"/>
      <c r="J644" s="63"/>
      <c r="K644" s="63"/>
      <c r="L644" s="63"/>
      <c r="M644" s="168"/>
      <c r="N644" s="63"/>
      <c r="O644" s="64"/>
      <c r="P644" s="64"/>
      <c r="Q644" s="64"/>
      <c r="R644" s="64"/>
      <c r="S644" s="64"/>
      <c r="T644" s="64"/>
      <c r="U644" s="64"/>
      <c r="V644" s="64"/>
      <c r="W644" s="64"/>
      <c r="X644" s="64"/>
      <c r="Y644" s="137"/>
      <c r="Z644" s="137"/>
      <c r="AA644" s="137"/>
      <c r="AB644" s="137"/>
      <c r="AC644" s="137"/>
    </row>
    <row r="645" spans="3:29" ht="15.75" customHeight="1">
      <c r="C645" s="63"/>
      <c r="D645" s="63"/>
      <c r="E645" s="63"/>
      <c r="F645" s="63"/>
      <c r="G645" s="63"/>
      <c r="H645" s="63"/>
      <c r="I645" s="63"/>
      <c r="J645" s="63"/>
      <c r="K645" s="63"/>
      <c r="L645" s="63"/>
      <c r="M645" s="168"/>
      <c r="N645" s="63"/>
      <c r="O645" s="64"/>
      <c r="P645" s="64"/>
      <c r="Q645" s="64"/>
      <c r="R645" s="64"/>
      <c r="S645" s="64"/>
      <c r="T645" s="64"/>
      <c r="U645" s="64"/>
      <c r="V645" s="64"/>
      <c r="W645" s="64"/>
      <c r="X645" s="64"/>
      <c r="Y645" s="137"/>
      <c r="Z645" s="137"/>
      <c r="AA645" s="137"/>
      <c r="AB645" s="137"/>
      <c r="AC645" s="137"/>
    </row>
    <row r="646" spans="3:29" ht="15.75" customHeight="1">
      <c r="C646" s="63"/>
      <c r="D646" s="63"/>
      <c r="E646" s="63"/>
      <c r="F646" s="63"/>
      <c r="G646" s="63"/>
      <c r="H646" s="63"/>
      <c r="I646" s="63"/>
      <c r="J646" s="63"/>
      <c r="K646" s="63"/>
      <c r="L646" s="63"/>
      <c r="M646" s="168"/>
      <c r="N646" s="63"/>
      <c r="O646" s="64"/>
      <c r="P646" s="64"/>
      <c r="Q646" s="64"/>
      <c r="R646" s="64"/>
      <c r="S646" s="64"/>
      <c r="T646" s="64"/>
      <c r="U646" s="64"/>
      <c r="V646" s="64"/>
      <c r="W646" s="64"/>
      <c r="X646" s="64"/>
      <c r="Y646" s="137"/>
      <c r="Z646" s="137"/>
      <c r="AA646" s="137"/>
      <c r="AB646" s="137"/>
      <c r="AC646" s="137"/>
    </row>
    <row r="647" spans="3:29" ht="15.75" customHeight="1">
      <c r="C647" s="63"/>
      <c r="D647" s="63"/>
      <c r="E647" s="63"/>
      <c r="F647" s="63"/>
      <c r="G647" s="63"/>
      <c r="H647" s="63"/>
      <c r="I647" s="63"/>
      <c r="J647" s="63"/>
      <c r="K647" s="63"/>
      <c r="L647" s="63"/>
      <c r="M647" s="168"/>
      <c r="N647" s="63"/>
      <c r="O647" s="64"/>
      <c r="P647" s="64"/>
      <c r="Q647" s="64"/>
      <c r="R647" s="64"/>
      <c r="S647" s="64"/>
      <c r="T647" s="64"/>
      <c r="U647" s="64"/>
      <c r="V647" s="64"/>
      <c r="W647" s="64"/>
      <c r="X647" s="64"/>
      <c r="Y647" s="137"/>
      <c r="Z647" s="137"/>
      <c r="AA647" s="137"/>
      <c r="AB647" s="137"/>
      <c r="AC647" s="137"/>
    </row>
    <row r="648" spans="3:29" ht="15.75" customHeight="1">
      <c r="C648" s="63"/>
      <c r="D648" s="63"/>
      <c r="E648" s="63"/>
      <c r="F648" s="63"/>
      <c r="G648" s="63"/>
      <c r="H648" s="63"/>
      <c r="I648" s="63"/>
      <c r="J648" s="63"/>
      <c r="K648" s="63"/>
      <c r="L648" s="63"/>
      <c r="M648" s="168"/>
      <c r="N648" s="63"/>
      <c r="O648" s="64"/>
      <c r="P648" s="64"/>
      <c r="Q648" s="64"/>
      <c r="R648" s="64"/>
      <c r="S648" s="64"/>
      <c r="T648" s="64"/>
      <c r="U648" s="64"/>
      <c r="V648" s="64"/>
      <c r="W648" s="64"/>
      <c r="X648" s="64"/>
      <c r="Y648" s="137"/>
      <c r="Z648" s="137"/>
      <c r="AA648" s="137"/>
      <c r="AB648" s="137"/>
      <c r="AC648" s="137"/>
    </row>
    <row r="649" spans="3:29" ht="15.75" customHeight="1">
      <c r="C649" s="63"/>
      <c r="D649" s="63"/>
      <c r="E649" s="63"/>
      <c r="F649" s="63"/>
      <c r="G649" s="63"/>
      <c r="H649" s="63"/>
      <c r="I649" s="63"/>
      <c r="J649" s="63"/>
      <c r="K649" s="63"/>
      <c r="L649" s="63"/>
      <c r="M649" s="168"/>
      <c r="N649" s="63"/>
      <c r="O649" s="64"/>
      <c r="P649" s="64"/>
      <c r="Q649" s="64"/>
      <c r="R649" s="64"/>
      <c r="S649" s="64"/>
      <c r="T649" s="64"/>
      <c r="U649" s="64"/>
      <c r="V649" s="64"/>
      <c r="W649" s="64"/>
      <c r="X649" s="64"/>
      <c r="Y649" s="137"/>
      <c r="Z649" s="137"/>
      <c r="AA649" s="137"/>
      <c r="AB649" s="137"/>
      <c r="AC649" s="137"/>
    </row>
    <row r="650" spans="3:29" ht="15.75" customHeight="1">
      <c r="C650" s="63"/>
      <c r="D650" s="63"/>
      <c r="E650" s="63"/>
      <c r="F650" s="63"/>
      <c r="G650" s="63"/>
      <c r="H650" s="63"/>
      <c r="I650" s="63"/>
      <c r="J650" s="63"/>
      <c r="K650" s="63"/>
      <c r="L650" s="63"/>
      <c r="M650" s="168"/>
      <c r="N650" s="63"/>
      <c r="O650" s="64"/>
      <c r="P650" s="64"/>
      <c r="Q650" s="64"/>
      <c r="R650" s="64"/>
      <c r="S650" s="64"/>
      <c r="T650" s="64"/>
      <c r="U650" s="64"/>
      <c r="V650" s="64"/>
      <c r="W650" s="64"/>
      <c r="X650" s="64"/>
      <c r="Y650" s="137"/>
      <c r="Z650" s="137"/>
      <c r="AA650" s="137"/>
      <c r="AB650" s="137"/>
      <c r="AC650" s="137"/>
    </row>
    <row r="651" spans="3:29" ht="15.75" customHeight="1">
      <c r="C651" s="63"/>
      <c r="D651" s="63"/>
      <c r="E651" s="63"/>
      <c r="F651" s="63"/>
      <c r="G651" s="63"/>
      <c r="H651" s="63"/>
      <c r="I651" s="63"/>
      <c r="J651" s="63"/>
      <c r="K651" s="63"/>
      <c r="L651" s="63"/>
      <c r="M651" s="168"/>
      <c r="N651" s="63"/>
      <c r="O651" s="64"/>
      <c r="P651" s="64"/>
      <c r="Q651" s="64"/>
      <c r="R651" s="64"/>
      <c r="S651" s="64"/>
      <c r="T651" s="64"/>
      <c r="U651" s="64"/>
      <c r="V651" s="64"/>
      <c r="W651" s="64"/>
      <c r="X651" s="64"/>
      <c r="Y651" s="137"/>
      <c r="Z651" s="137"/>
      <c r="AA651" s="137"/>
      <c r="AB651" s="137"/>
      <c r="AC651" s="137"/>
    </row>
    <row r="652" spans="3:29" ht="15.75" customHeight="1">
      <c r="C652" s="63"/>
      <c r="D652" s="63"/>
      <c r="E652" s="63"/>
      <c r="F652" s="63"/>
      <c r="G652" s="63"/>
      <c r="H652" s="63"/>
      <c r="I652" s="63"/>
      <c r="J652" s="63"/>
      <c r="K652" s="63"/>
      <c r="L652" s="63"/>
      <c r="M652" s="168"/>
      <c r="N652" s="63"/>
      <c r="O652" s="64"/>
      <c r="P652" s="64"/>
      <c r="Q652" s="64"/>
      <c r="R652" s="64"/>
      <c r="S652" s="64"/>
      <c r="T652" s="64"/>
      <c r="U652" s="64"/>
      <c r="V652" s="64"/>
      <c r="W652" s="64"/>
      <c r="X652" s="64"/>
      <c r="Y652" s="137"/>
      <c r="Z652" s="137"/>
      <c r="AA652" s="137"/>
      <c r="AB652" s="137"/>
      <c r="AC652" s="137"/>
    </row>
    <row r="653" spans="3:29" ht="15.75" customHeight="1">
      <c r="C653" s="63"/>
      <c r="D653" s="63"/>
      <c r="E653" s="63"/>
      <c r="F653" s="63"/>
      <c r="G653" s="63"/>
      <c r="H653" s="63"/>
      <c r="I653" s="63"/>
      <c r="J653" s="63"/>
      <c r="K653" s="63"/>
      <c r="L653" s="63"/>
      <c r="M653" s="168"/>
      <c r="N653" s="63"/>
      <c r="O653" s="64"/>
      <c r="P653" s="64"/>
      <c r="Q653" s="64"/>
      <c r="R653" s="64"/>
      <c r="S653" s="64"/>
      <c r="T653" s="64"/>
      <c r="U653" s="64"/>
      <c r="V653" s="64"/>
      <c r="W653" s="64"/>
      <c r="X653" s="64"/>
      <c r="Y653" s="137"/>
      <c r="Z653" s="137"/>
      <c r="AA653" s="137"/>
      <c r="AB653" s="137"/>
      <c r="AC653" s="137"/>
    </row>
    <row r="654" spans="3:29" ht="15.75" customHeight="1">
      <c r="C654" s="63"/>
      <c r="D654" s="63"/>
      <c r="E654" s="63"/>
      <c r="F654" s="63"/>
      <c r="G654" s="63"/>
      <c r="H654" s="63"/>
      <c r="I654" s="63"/>
      <c r="J654" s="63"/>
      <c r="K654" s="63"/>
      <c r="L654" s="63"/>
      <c r="M654" s="168"/>
      <c r="N654" s="63"/>
      <c r="O654" s="64"/>
      <c r="P654" s="64"/>
      <c r="Q654" s="64"/>
      <c r="R654" s="64"/>
      <c r="S654" s="64"/>
      <c r="T654" s="64"/>
      <c r="U654" s="64"/>
      <c r="V654" s="64"/>
      <c r="W654" s="64"/>
      <c r="X654" s="64"/>
      <c r="Y654" s="137"/>
      <c r="Z654" s="137"/>
      <c r="AA654" s="137"/>
      <c r="AB654" s="137"/>
      <c r="AC654" s="137"/>
    </row>
    <row r="655" spans="3:29" ht="15.75" customHeight="1">
      <c r="C655" s="63"/>
      <c r="D655" s="63"/>
      <c r="E655" s="63"/>
      <c r="F655" s="63"/>
      <c r="G655" s="63"/>
      <c r="H655" s="63"/>
      <c r="I655" s="63"/>
      <c r="J655" s="63"/>
      <c r="K655" s="63"/>
      <c r="L655" s="63"/>
      <c r="M655" s="168"/>
      <c r="N655" s="63"/>
      <c r="O655" s="64"/>
      <c r="P655" s="64"/>
      <c r="Q655" s="64"/>
      <c r="R655" s="64"/>
      <c r="S655" s="64"/>
      <c r="T655" s="64"/>
      <c r="U655" s="64"/>
      <c r="V655" s="64"/>
      <c r="W655" s="64"/>
      <c r="X655" s="64"/>
      <c r="Y655" s="137"/>
      <c r="Z655" s="137"/>
      <c r="AA655" s="137"/>
      <c r="AB655" s="137"/>
      <c r="AC655" s="137"/>
    </row>
    <row r="656" spans="3:29" ht="15.75" customHeight="1">
      <c r="C656" s="63"/>
      <c r="D656" s="63"/>
      <c r="E656" s="63"/>
      <c r="F656" s="63"/>
      <c r="G656" s="63"/>
      <c r="H656" s="63"/>
      <c r="I656" s="63"/>
      <c r="J656" s="63"/>
      <c r="K656" s="63"/>
      <c r="L656" s="63"/>
      <c r="M656" s="168"/>
      <c r="N656" s="63"/>
      <c r="O656" s="64"/>
      <c r="P656" s="64"/>
      <c r="Q656" s="64"/>
      <c r="R656" s="64"/>
      <c r="S656" s="64"/>
      <c r="T656" s="64"/>
      <c r="U656" s="64"/>
      <c r="V656" s="64"/>
      <c r="W656" s="64"/>
      <c r="X656" s="64"/>
      <c r="Y656" s="137"/>
      <c r="Z656" s="137"/>
      <c r="AA656" s="137"/>
      <c r="AB656" s="137"/>
      <c r="AC656" s="137"/>
    </row>
    <row r="657" spans="3:29" ht="15.75" customHeight="1">
      <c r="C657" s="63"/>
      <c r="D657" s="63"/>
      <c r="E657" s="63"/>
      <c r="F657" s="63"/>
      <c r="G657" s="63"/>
      <c r="H657" s="63"/>
      <c r="I657" s="63"/>
      <c r="J657" s="63"/>
      <c r="K657" s="63"/>
      <c r="L657" s="63"/>
      <c r="M657" s="168"/>
      <c r="N657" s="63"/>
      <c r="O657" s="64"/>
      <c r="P657" s="64"/>
      <c r="Q657" s="64"/>
      <c r="R657" s="64"/>
      <c r="S657" s="64"/>
      <c r="T657" s="64"/>
      <c r="U657" s="64"/>
      <c r="V657" s="64"/>
      <c r="W657" s="64"/>
      <c r="X657" s="64"/>
      <c r="Y657" s="137"/>
      <c r="Z657" s="137"/>
      <c r="AA657" s="137"/>
      <c r="AB657" s="137"/>
      <c r="AC657" s="137"/>
    </row>
    <row r="658" spans="3:29" ht="15.75" customHeight="1">
      <c r="C658" s="63"/>
      <c r="D658" s="63"/>
      <c r="E658" s="63"/>
      <c r="F658" s="63"/>
      <c r="G658" s="63"/>
      <c r="H658" s="63"/>
      <c r="I658" s="63"/>
      <c r="J658" s="63"/>
      <c r="K658" s="63"/>
      <c r="L658" s="63"/>
      <c r="M658" s="168"/>
      <c r="N658" s="63"/>
      <c r="O658" s="64"/>
      <c r="P658" s="64"/>
      <c r="Q658" s="64"/>
      <c r="R658" s="64"/>
      <c r="S658" s="64"/>
      <c r="T658" s="64"/>
      <c r="U658" s="64"/>
      <c r="V658" s="64"/>
      <c r="W658" s="64"/>
      <c r="X658" s="64"/>
      <c r="Y658" s="137"/>
      <c r="Z658" s="137"/>
      <c r="AA658" s="137"/>
      <c r="AB658" s="137"/>
      <c r="AC658" s="137"/>
    </row>
    <row r="659" spans="3:29" ht="15.75" customHeight="1">
      <c r="C659" s="63"/>
      <c r="D659" s="63"/>
      <c r="E659" s="63"/>
      <c r="F659" s="63"/>
      <c r="G659" s="63"/>
      <c r="H659" s="63"/>
      <c r="I659" s="63"/>
      <c r="J659" s="63"/>
      <c r="K659" s="63"/>
      <c r="L659" s="63"/>
      <c r="M659" s="168"/>
      <c r="N659" s="63"/>
      <c r="O659" s="64"/>
      <c r="P659" s="64"/>
      <c r="Q659" s="64"/>
      <c r="R659" s="64"/>
      <c r="S659" s="64"/>
      <c r="T659" s="64"/>
      <c r="U659" s="64"/>
      <c r="V659" s="64"/>
      <c r="W659" s="64"/>
      <c r="X659" s="64"/>
      <c r="Y659" s="137"/>
      <c r="Z659" s="137"/>
      <c r="AA659" s="137"/>
      <c r="AB659" s="137"/>
      <c r="AC659" s="137"/>
    </row>
    <row r="660" spans="3:29" ht="15.75" customHeight="1">
      <c r="C660" s="63"/>
      <c r="D660" s="63"/>
      <c r="E660" s="63"/>
      <c r="F660" s="63"/>
      <c r="G660" s="63"/>
      <c r="H660" s="63"/>
      <c r="I660" s="63"/>
      <c r="J660" s="63"/>
      <c r="K660" s="63"/>
      <c r="L660" s="63"/>
      <c r="M660" s="168"/>
      <c r="N660" s="63"/>
      <c r="O660" s="64"/>
      <c r="P660" s="64"/>
      <c r="Q660" s="64"/>
      <c r="R660" s="64"/>
      <c r="S660" s="64"/>
      <c r="T660" s="64"/>
      <c r="U660" s="64"/>
      <c r="V660" s="64"/>
      <c r="W660" s="64"/>
      <c r="X660" s="64"/>
      <c r="Y660" s="137"/>
      <c r="Z660" s="137"/>
      <c r="AA660" s="137"/>
      <c r="AB660" s="137"/>
      <c r="AC660" s="137"/>
    </row>
    <row r="661" spans="3:29" ht="15.75" customHeight="1">
      <c r="C661" s="63"/>
      <c r="D661" s="63"/>
      <c r="E661" s="63"/>
      <c r="F661" s="63"/>
      <c r="G661" s="63"/>
      <c r="H661" s="63"/>
      <c r="I661" s="63"/>
      <c r="J661" s="63"/>
      <c r="K661" s="63"/>
      <c r="L661" s="63"/>
      <c r="M661" s="168"/>
      <c r="N661" s="63"/>
      <c r="O661" s="64"/>
      <c r="P661" s="64"/>
      <c r="Q661" s="64"/>
      <c r="R661" s="64"/>
      <c r="S661" s="64"/>
      <c r="T661" s="64"/>
      <c r="U661" s="64"/>
      <c r="V661" s="64"/>
      <c r="W661" s="64"/>
      <c r="X661" s="64"/>
      <c r="Y661" s="137"/>
      <c r="Z661" s="137"/>
      <c r="AA661" s="137"/>
      <c r="AB661" s="137"/>
      <c r="AC661" s="137"/>
    </row>
    <row r="662" spans="3:29" ht="15.75" customHeight="1">
      <c r="C662" s="63"/>
      <c r="D662" s="63"/>
      <c r="E662" s="63"/>
      <c r="F662" s="63"/>
      <c r="G662" s="63"/>
      <c r="H662" s="63"/>
      <c r="I662" s="63"/>
      <c r="J662" s="63"/>
      <c r="K662" s="63"/>
      <c r="L662" s="63"/>
      <c r="M662" s="168"/>
      <c r="N662" s="63"/>
      <c r="O662" s="64"/>
      <c r="P662" s="64"/>
      <c r="Q662" s="64"/>
      <c r="R662" s="64"/>
      <c r="S662" s="64"/>
      <c r="T662" s="64"/>
      <c r="U662" s="64"/>
      <c r="V662" s="64"/>
      <c r="W662" s="64"/>
      <c r="X662" s="64"/>
      <c r="Y662" s="137"/>
      <c r="Z662" s="137"/>
      <c r="AA662" s="137"/>
      <c r="AB662" s="137"/>
      <c r="AC662" s="137"/>
    </row>
    <row r="663" spans="3:29" ht="15.75" customHeight="1">
      <c r="C663" s="63"/>
      <c r="D663" s="63"/>
      <c r="E663" s="63"/>
      <c r="F663" s="63"/>
      <c r="G663" s="63"/>
      <c r="H663" s="63"/>
      <c r="I663" s="63"/>
      <c r="J663" s="63"/>
      <c r="K663" s="63"/>
      <c r="L663" s="63"/>
      <c r="M663" s="168"/>
      <c r="N663" s="63"/>
      <c r="O663" s="64"/>
      <c r="P663" s="64"/>
      <c r="Q663" s="64"/>
      <c r="R663" s="64"/>
      <c r="S663" s="64"/>
      <c r="T663" s="64"/>
      <c r="U663" s="64"/>
      <c r="V663" s="64"/>
      <c r="W663" s="64"/>
      <c r="X663" s="64"/>
      <c r="Y663" s="137"/>
      <c r="Z663" s="137"/>
      <c r="AA663" s="137"/>
      <c r="AB663" s="137"/>
      <c r="AC663" s="137"/>
    </row>
    <row r="664" spans="3:29" ht="15.75" customHeight="1">
      <c r="C664" s="63"/>
      <c r="D664" s="63"/>
      <c r="E664" s="63"/>
      <c r="F664" s="63"/>
      <c r="G664" s="63"/>
      <c r="H664" s="63"/>
      <c r="I664" s="63"/>
      <c r="J664" s="63"/>
      <c r="K664" s="63"/>
      <c r="L664" s="63"/>
      <c r="M664" s="168"/>
      <c r="N664" s="63"/>
      <c r="O664" s="64"/>
      <c r="P664" s="64"/>
      <c r="Q664" s="64"/>
      <c r="R664" s="64"/>
      <c r="S664" s="64"/>
      <c r="T664" s="64"/>
      <c r="U664" s="64"/>
      <c r="V664" s="64"/>
      <c r="W664" s="64"/>
      <c r="X664" s="64"/>
      <c r="Y664" s="137"/>
      <c r="Z664" s="137"/>
      <c r="AA664" s="137"/>
      <c r="AB664" s="137"/>
      <c r="AC664" s="137"/>
    </row>
    <row r="665" spans="3:29" ht="15.75" customHeight="1">
      <c r="C665" s="63"/>
      <c r="D665" s="63"/>
      <c r="E665" s="63"/>
      <c r="F665" s="63"/>
      <c r="G665" s="63"/>
      <c r="H665" s="63"/>
      <c r="I665" s="63"/>
      <c r="J665" s="63"/>
      <c r="K665" s="63"/>
      <c r="L665" s="63"/>
      <c r="M665" s="168"/>
      <c r="N665" s="63"/>
      <c r="O665" s="64"/>
      <c r="P665" s="64"/>
      <c r="Q665" s="64"/>
      <c r="R665" s="64"/>
      <c r="S665" s="64"/>
      <c r="T665" s="64"/>
      <c r="U665" s="64"/>
      <c r="V665" s="64"/>
      <c r="W665" s="64"/>
      <c r="X665" s="64"/>
      <c r="Y665" s="137"/>
      <c r="Z665" s="137"/>
      <c r="AA665" s="137"/>
      <c r="AB665" s="137"/>
      <c r="AC665" s="137"/>
    </row>
    <row r="666" spans="3:29" ht="15.75" customHeight="1">
      <c r="C666" s="63"/>
      <c r="D666" s="63"/>
      <c r="E666" s="63"/>
      <c r="F666" s="63"/>
      <c r="G666" s="63"/>
      <c r="H666" s="63"/>
      <c r="I666" s="63"/>
      <c r="J666" s="63"/>
      <c r="K666" s="63"/>
      <c r="L666" s="63"/>
      <c r="M666" s="168"/>
      <c r="N666" s="63"/>
      <c r="O666" s="64"/>
      <c r="P666" s="64"/>
      <c r="Q666" s="64"/>
      <c r="R666" s="64"/>
      <c r="S666" s="64"/>
      <c r="T666" s="64"/>
      <c r="U666" s="64"/>
      <c r="V666" s="64"/>
      <c r="W666" s="64"/>
      <c r="X666" s="64"/>
      <c r="Y666" s="137"/>
      <c r="Z666" s="137"/>
      <c r="AA666" s="137"/>
      <c r="AB666" s="137"/>
      <c r="AC666" s="137"/>
    </row>
    <row r="667" spans="3:29" ht="15.75" customHeight="1">
      <c r="C667" s="63"/>
      <c r="D667" s="63"/>
      <c r="E667" s="63"/>
      <c r="F667" s="63"/>
      <c r="G667" s="63"/>
      <c r="H667" s="63"/>
      <c r="I667" s="63"/>
      <c r="J667" s="63"/>
      <c r="K667" s="63"/>
      <c r="L667" s="63"/>
      <c r="M667" s="168"/>
      <c r="N667" s="63"/>
      <c r="O667" s="64"/>
      <c r="P667" s="64"/>
      <c r="Q667" s="64"/>
      <c r="R667" s="64"/>
      <c r="S667" s="64"/>
      <c r="T667" s="64"/>
      <c r="U667" s="64"/>
      <c r="V667" s="64"/>
      <c r="W667" s="64"/>
      <c r="X667" s="64"/>
      <c r="Y667" s="137"/>
      <c r="Z667" s="137"/>
      <c r="AA667" s="137"/>
      <c r="AB667" s="137"/>
      <c r="AC667" s="137"/>
    </row>
    <row r="668" spans="3:29" ht="15.75" customHeight="1">
      <c r="C668" s="63"/>
      <c r="D668" s="63"/>
      <c r="E668" s="63"/>
      <c r="F668" s="63"/>
      <c r="G668" s="63"/>
      <c r="H668" s="63"/>
      <c r="I668" s="63"/>
      <c r="J668" s="63"/>
      <c r="K668" s="63"/>
      <c r="L668" s="63"/>
      <c r="M668" s="168"/>
      <c r="N668" s="63"/>
      <c r="O668" s="64"/>
      <c r="P668" s="64"/>
      <c r="Q668" s="64"/>
      <c r="R668" s="64"/>
      <c r="S668" s="64"/>
      <c r="T668" s="64"/>
      <c r="U668" s="64"/>
      <c r="V668" s="64"/>
      <c r="W668" s="64"/>
      <c r="X668" s="64"/>
      <c r="Y668" s="137"/>
      <c r="Z668" s="137"/>
      <c r="AA668" s="137"/>
      <c r="AB668" s="137"/>
      <c r="AC668" s="137"/>
    </row>
    <row r="669" spans="3:29" ht="15.75" customHeight="1">
      <c r="C669" s="63"/>
      <c r="D669" s="63"/>
      <c r="E669" s="63"/>
      <c r="F669" s="63"/>
      <c r="G669" s="63"/>
      <c r="H669" s="63"/>
      <c r="I669" s="63"/>
      <c r="J669" s="63"/>
      <c r="K669" s="63"/>
      <c r="L669" s="63"/>
      <c r="M669" s="168"/>
      <c r="N669" s="63"/>
      <c r="O669" s="64"/>
      <c r="P669" s="64"/>
      <c r="Q669" s="64"/>
      <c r="R669" s="64"/>
      <c r="S669" s="64"/>
      <c r="T669" s="64"/>
      <c r="U669" s="64"/>
      <c r="V669" s="64"/>
      <c r="W669" s="64"/>
      <c r="X669" s="64"/>
      <c r="Y669" s="137"/>
      <c r="Z669" s="137"/>
      <c r="AA669" s="137"/>
      <c r="AB669" s="137"/>
      <c r="AC669" s="137"/>
    </row>
    <row r="670" spans="3:29" ht="15.75" customHeight="1">
      <c r="C670" s="63"/>
      <c r="D670" s="63"/>
      <c r="E670" s="63"/>
      <c r="F670" s="63"/>
      <c r="G670" s="63"/>
      <c r="H670" s="63"/>
      <c r="I670" s="63"/>
      <c r="J670" s="63"/>
      <c r="K670" s="63"/>
      <c r="L670" s="63"/>
      <c r="M670" s="168"/>
      <c r="N670" s="63"/>
      <c r="O670" s="64"/>
      <c r="P670" s="64"/>
      <c r="Q670" s="64"/>
      <c r="R670" s="64"/>
      <c r="S670" s="64"/>
      <c r="T670" s="64"/>
      <c r="U670" s="64"/>
      <c r="V670" s="64"/>
      <c r="W670" s="64"/>
      <c r="X670" s="64"/>
      <c r="Y670" s="137"/>
      <c r="Z670" s="137"/>
      <c r="AA670" s="137"/>
      <c r="AB670" s="137"/>
      <c r="AC670" s="137"/>
    </row>
    <row r="671" spans="3:29" ht="15.75" customHeight="1">
      <c r="C671" s="63"/>
      <c r="D671" s="63"/>
      <c r="E671" s="63"/>
      <c r="F671" s="63"/>
      <c r="G671" s="63"/>
      <c r="H671" s="63"/>
      <c r="I671" s="63"/>
      <c r="J671" s="63"/>
      <c r="K671" s="63"/>
      <c r="L671" s="63"/>
      <c r="M671" s="168"/>
      <c r="N671" s="63"/>
      <c r="O671" s="64"/>
      <c r="P671" s="64"/>
      <c r="Q671" s="64"/>
      <c r="R671" s="64"/>
      <c r="S671" s="64"/>
      <c r="T671" s="64"/>
      <c r="U671" s="64"/>
      <c r="V671" s="64"/>
      <c r="W671" s="64"/>
      <c r="X671" s="64"/>
      <c r="Y671" s="137"/>
      <c r="Z671" s="137"/>
      <c r="AA671" s="137"/>
      <c r="AB671" s="137"/>
      <c r="AC671" s="137"/>
    </row>
    <row r="672" spans="3:29" ht="15.75" customHeight="1">
      <c r="C672" s="63"/>
      <c r="D672" s="63"/>
      <c r="E672" s="63"/>
      <c r="F672" s="63"/>
      <c r="G672" s="63"/>
      <c r="H672" s="63"/>
      <c r="I672" s="63"/>
      <c r="J672" s="63"/>
      <c r="K672" s="63"/>
      <c r="L672" s="63"/>
      <c r="M672" s="168"/>
      <c r="N672" s="63"/>
      <c r="O672" s="64"/>
      <c r="P672" s="64"/>
      <c r="Q672" s="64"/>
      <c r="R672" s="64"/>
      <c r="S672" s="64"/>
      <c r="T672" s="64"/>
      <c r="U672" s="64"/>
      <c r="V672" s="64"/>
      <c r="W672" s="64"/>
      <c r="X672" s="64"/>
      <c r="Y672" s="137"/>
      <c r="Z672" s="137"/>
      <c r="AA672" s="137"/>
      <c r="AB672" s="137"/>
      <c r="AC672" s="137"/>
    </row>
    <row r="673" spans="3:29" ht="15.75" customHeight="1">
      <c r="C673" s="63"/>
      <c r="D673" s="63"/>
      <c r="E673" s="63"/>
      <c r="F673" s="63"/>
      <c r="G673" s="63"/>
      <c r="H673" s="63"/>
      <c r="I673" s="63"/>
      <c r="J673" s="63"/>
      <c r="K673" s="63"/>
      <c r="L673" s="63"/>
      <c r="M673" s="168"/>
      <c r="N673" s="63"/>
      <c r="O673" s="64"/>
      <c r="P673" s="64"/>
      <c r="Q673" s="64"/>
      <c r="R673" s="64"/>
      <c r="S673" s="64"/>
      <c r="T673" s="64"/>
      <c r="U673" s="64"/>
      <c r="V673" s="64"/>
      <c r="W673" s="64"/>
      <c r="X673" s="64"/>
      <c r="Y673" s="137"/>
      <c r="Z673" s="137"/>
      <c r="AA673" s="137"/>
      <c r="AB673" s="137"/>
      <c r="AC673" s="137"/>
    </row>
    <row r="674" spans="3:29" ht="15.75" customHeight="1">
      <c r="C674" s="63"/>
      <c r="D674" s="63"/>
      <c r="E674" s="63"/>
      <c r="F674" s="63"/>
      <c r="G674" s="63"/>
      <c r="H674" s="63"/>
      <c r="I674" s="63"/>
      <c r="J674" s="63"/>
      <c r="K674" s="63"/>
      <c r="L674" s="63"/>
      <c r="M674" s="168"/>
      <c r="N674" s="63"/>
      <c r="O674" s="64"/>
      <c r="P674" s="64"/>
      <c r="Q674" s="64"/>
      <c r="R674" s="64"/>
      <c r="S674" s="64"/>
      <c r="T674" s="64"/>
      <c r="U674" s="64"/>
      <c r="V674" s="64"/>
      <c r="W674" s="64"/>
      <c r="X674" s="64"/>
      <c r="Y674" s="137"/>
      <c r="Z674" s="137"/>
      <c r="AA674" s="137"/>
      <c r="AB674" s="137"/>
      <c r="AC674" s="137"/>
    </row>
    <row r="675" spans="3:29" ht="15.75" customHeight="1">
      <c r="C675" s="63"/>
      <c r="D675" s="63"/>
      <c r="E675" s="63"/>
      <c r="F675" s="63"/>
      <c r="G675" s="63"/>
      <c r="H675" s="63"/>
      <c r="I675" s="63"/>
      <c r="J675" s="63"/>
      <c r="K675" s="63"/>
      <c r="L675" s="63"/>
      <c r="M675" s="168"/>
      <c r="N675" s="63"/>
      <c r="O675" s="64"/>
      <c r="P675" s="64"/>
      <c r="Q675" s="64"/>
      <c r="R675" s="64"/>
      <c r="S675" s="64"/>
      <c r="T675" s="64"/>
      <c r="U675" s="64"/>
      <c r="V675" s="64"/>
      <c r="W675" s="64"/>
      <c r="X675" s="64"/>
      <c r="Y675" s="137"/>
      <c r="Z675" s="137"/>
      <c r="AA675" s="137"/>
      <c r="AB675" s="137"/>
      <c r="AC675" s="137"/>
    </row>
    <row r="676" spans="3:29" ht="15.75" customHeight="1">
      <c r="C676" s="63"/>
      <c r="D676" s="63"/>
      <c r="E676" s="63"/>
      <c r="F676" s="63"/>
      <c r="G676" s="63"/>
      <c r="H676" s="63"/>
      <c r="I676" s="63"/>
      <c r="J676" s="63"/>
      <c r="K676" s="63"/>
      <c r="L676" s="63"/>
      <c r="M676" s="168"/>
      <c r="N676" s="63"/>
      <c r="O676" s="64"/>
      <c r="P676" s="64"/>
      <c r="Q676" s="64"/>
      <c r="R676" s="64"/>
      <c r="S676" s="64"/>
      <c r="T676" s="64"/>
      <c r="U676" s="64"/>
      <c r="V676" s="64"/>
      <c r="W676" s="64"/>
      <c r="X676" s="64"/>
      <c r="Y676" s="137"/>
      <c r="Z676" s="137"/>
      <c r="AA676" s="137"/>
      <c r="AB676" s="137"/>
      <c r="AC676" s="137"/>
    </row>
    <row r="677" spans="3:29" ht="15.75" customHeight="1">
      <c r="C677" s="63"/>
      <c r="D677" s="63"/>
      <c r="E677" s="63"/>
      <c r="F677" s="63"/>
      <c r="G677" s="63"/>
      <c r="H677" s="63"/>
      <c r="I677" s="63"/>
      <c r="J677" s="63"/>
      <c r="K677" s="63"/>
      <c r="L677" s="63"/>
      <c r="M677" s="168"/>
      <c r="N677" s="63"/>
      <c r="O677" s="64"/>
      <c r="P677" s="64"/>
      <c r="Q677" s="64"/>
      <c r="R677" s="64"/>
      <c r="S677" s="64"/>
      <c r="T677" s="64"/>
      <c r="U677" s="64"/>
      <c r="V677" s="64"/>
      <c r="W677" s="64"/>
      <c r="X677" s="64"/>
      <c r="Y677" s="137"/>
      <c r="Z677" s="137"/>
      <c r="AA677" s="137"/>
      <c r="AB677" s="137"/>
      <c r="AC677" s="137"/>
    </row>
    <row r="678" spans="3:29" ht="15.75" customHeight="1">
      <c r="C678" s="63"/>
      <c r="D678" s="63"/>
      <c r="E678" s="63"/>
      <c r="F678" s="63"/>
      <c r="G678" s="63"/>
      <c r="H678" s="63"/>
      <c r="I678" s="63"/>
      <c r="J678" s="63"/>
      <c r="K678" s="63"/>
      <c r="L678" s="63"/>
      <c r="M678" s="168"/>
      <c r="N678" s="63"/>
      <c r="O678" s="64"/>
      <c r="P678" s="64"/>
      <c r="Q678" s="64"/>
      <c r="R678" s="64"/>
      <c r="S678" s="64"/>
      <c r="T678" s="64"/>
      <c r="U678" s="64"/>
      <c r="V678" s="64"/>
      <c r="W678" s="64"/>
      <c r="X678" s="64"/>
      <c r="Y678" s="137"/>
      <c r="Z678" s="137"/>
      <c r="AA678" s="137"/>
      <c r="AB678" s="137"/>
      <c r="AC678" s="137"/>
    </row>
    <row r="679" spans="3:29" ht="15.75" customHeight="1">
      <c r="C679" s="63"/>
      <c r="D679" s="63"/>
      <c r="E679" s="63"/>
      <c r="F679" s="63"/>
      <c r="G679" s="63"/>
      <c r="H679" s="63"/>
      <c r="I679" s="63"/>
      <c r="J679" s="63"/>
      <c r="K679" s="63"/>
      <c r="L679" s="63"/>
      <c r="M679" s="168"/>
      <c r="N679" s="63"/>
      <c r="O679" s="64"/>
      <c r="P679" s="64"/>
      <c r="Q679" s="64"/>
      <c r="R679" s="64"/>
      <c r="S679" s="64"/>
      <c r="T679" s="64"/>
      <c r="U679" s="64"/>
      <c r="V679" s="64"/>
      <c r="W679" s="64"/>
      <c r="X679" s="64"/>
      <c r="Y679" s="137"/>
      <c r="Z679" s="137"/>
      <c r="AA679" s="137"/>
      <c r="AB679" s="137"/>
      <c r="AC679" s="137"/>
    </row>
    <row r="680" spans="3:29" ht="15.75" customHeight="1">
      <c r="C680" s="63"/>
      <c r="D680" s="63"/>
      <c r="E680" s="63"/>
      <c r="F680" s="63"/>
      <c r="G680" s="63"/>
      <c r="H680" s="63"/>
      <c r="I680" s="63"/>
      <c r="J680" s="63"/>
      <c r="K680" s="63"/>
      <c r="L680" s="63"/>
      <c r="M680" s="168"/>
      <c r="N680" s="63"/>
      <c r="O680" s="64"/>
      <c r="P680" s="64"/>
      <c r="Q680" s="64"/>
      <c r="R680" s="64"/>
      <c r="S680" s="64"/>
      <c r="T680" s="64"/>
      <c r="U680" s="64"/>
      <c r="V680" s="64"/>
      <c r="W680" s="64"/>
      <c r="X680" s="64"/>
      <c r="Y680" s="137"/>
      <c r="Z680" s="137"/>
      <c r="AA680" s="137"/>
      <c r="AB680" s="137"/>
      <c r="AC680" s="137"/>
    </row>
    <row r="681" spans="3:29" ht="15.75" customHeight="1">
      <c r="C681" s="63"/>
      <c r="D681" s="63"/>
      <c r="E681" s="63"/>
      <c r="F681" s="63"/>
      <c r="G681" s="63"/>
      <c r="H681" s="63"/>
      <c r="I681" s="63"/>
      <c r="J681" s="63"/>
      <c r="K681" s="63"/>
      <c r="L681" s="63"/>
      <c r="M681" s="168"/>
      <c r="N681" s="63"/>
      <c r="O681" s="64"/>
      <c r="P681" s="64"/>
      <c r="Q681" s="64"/>
      <c r="R681" s="64"/>
      <c r="S681" s="64"/>
      <c r="T681" s="64"/>
      <c r="U681" s="64"/>
      <c r="V681" s="64"/>
      <c r="W681" s="64"/>
      <c r="X681" s="64"/>
      <c r="Y681" s="137"/>
      <c r="Z681" s="137"/>
      <c r="AA681" s="137"/>
      <c r="AB681" s="137"/>
      <c r="AC681" s="137"/>
    </row>
    <row r="682" spans="3:29" ht="15.75" customHeight="1">
      <c r="C682" s="63"/>
      <c r="D682" s="63"/>
      <c r="E682" s="63"/>
      <c r="F682" s="63"/>
      <c r="G682" s="63"/>
      <c r="H682" s="63"/>
      <c r="I682" s="63"/>
      <c r="J682" s="63"/>
      <c r="K682" s="63"/>
      <c r="L682" s="63"/>
      <c r="M682" s="168"/>
      <c r="N682" s="63"/>
      <c r="O682" s="64"/>
      <c r="P682" s="64"/>
      <c r="Q682" s="64"/>
      <c r="R682" s="64"/>
      <c r="S682" s="64"/>
      <c r="T682" s="64"/>
      <c r="U682" s="64"/>
      <c r="V682" s="64"/>
      <c r="W682" s="64"/>
      <c r="X682" s="64"/>
      <c r="Y682" s="137"/>
      <c r="Z682" s="137"/>
      <c r="AA682" s="137"/>
      <c r="AB682" s="137"/>
      <c r="AC682" s="137"/>
    </row>
    <row r="683" spans="3:29" ht="15.75" customHeight="1">
      <c r="C683" s="63"/>
      <c r="D683" s="63"/>
      <c r="E683" s="63"/>
      <c r="F683" s="63"/>
      <c r="G683" s="63"/>
      <c r="H683" s="63"/>
      <c r="I683" s="63"/>
      <c r="J683" s="63"/>
      <c r="K683" s="63"/>
      <c r="L683" s="63"/>
      <c r="M683" s="168"/>
      <c r="N683" s="63"/>
      <c r="O683" s="64"/>
      <c r="P683" s="64"/>
      <c r="Q683" s="64"/>
      <c r="R683" s="64"/>
      <c r="S683" s="64"/>
      <c r="T683" s="64"/>
      <c r="U683" s="64"/>
      <c r="V683" s="64"/>
      <c r="W683" s="64"/>
      <c r="X683" s="64"/>
      <c r="Y683" s="137"/>
      <c r="Z683" s="137"/>
      <c r="AA683" s="137"/>
      <c r="AB683" s="137"/>
      <c r="AC683" s="137"/>
    </row>
    <row r="684" spans="3:29" ht="15.75" customHeight="1">
      <c r="C684" s="63"/>
      <c r="D684" s="63"/>
      <c r="E684" s="63"/>
      <c r="F684" s="63"/>
      <c r="G684" s="63"/>
      <c r="H684" s="63"/>
      <c r="I684" s="63"/>
      <c r="J684" s="63"/>
      <c r="K684" s="63"/>
      <c r="L684" s="63"/>
      <c r="M684" s="168"/>
      <c r="N684" s="63"/>
      <c r="O684" s="64"/>
      <c r="P684" s="64"/>
      <c r="Q684" s="64"/>
      <c r="R684" s="64"/>
      <c r="S684" s="64"/>
      <c r="T684" s="64"/>
      <c r="U684" s="64"/>
      <c r="V684" s="64"/>
      <c r="W684" s="64"/>
      <c r="X684" s="64"/>
      <c r="Y684" s="137"/>
      <c r="Z684" s="137"/>
      <c r="AA684" s="137"/>
      <c r="AB684" s="137"/>
      <c r="AC684" s="137"/>
    </row>
    <row r="685" spans="3:29" ht="15.75" customHeight="1">
      <c r="C685" s="63"/>
      <c r="D685" s="63"/>
      <c r="E685" s="63"/>
      <c r="F685" s="63"/>
      <c r="G685" s="63"/>
      <c r="H685" s="63"/>
      <c r="I685" s="63"/>
      <c r="J685" s="63"/>
      <c r="K685" s="63"/>
      <c r="L685" s="63"/>
      <c r="M685" s="168"/>
      <c r="N685" s="63"/>
      <c r="O685" s="64"/>
      <c r="P685" s="64"/>
      <c r="Q685" s="64"/>
      <c r="R685" s="64"/>
      <c r="S685" s="64"/>
      <c r="T685" s="64"/>
      <c r="U685" s="64"/>
      <c r="V685" s="64"/>
      <c r="W685" s="64"/>
      <c r="X685" s="64"/>
      <c r="Y685" s="137"/>
      <c r="Z685" s="137"/>
      <c r="AA685" s="137"/>
      <c r="AB685" s="137"/>
      <c r="AC685" s="137"/>
    </row>
    <row r="686" spans="3:29" ht="15.75" customHeight="1">
      <c r="C686" s="63"/>
      <c r="D686" s="63"/>
      <c r="E686" s="63"/>
      <c r="F686" s="63"/>
      <c r="G686" s="63"/>
      <c r="H686" s="63"/>
      <c r="I686" s="63"/>
      <c r="J686" s="63"/>
      <c r="K686" s="63"/>
      <c r="L686" s="63"/>
      <c r="M686" s="168"/>
      <c r="N686" s="63"/>
      <c r="O686" s="64"/>
      <c r="P686" s="64"/>
      <c r="Q686" s="64"/>
      <c r="R686" s="64"/>
      <c r="S686" s="64"/>
      <c r="T686" s="64"/>
      <c r="U686" s="64"/>
      <c r="V686" s="64"/>
      <c r="W686" s="64"/>
      <c r="X686" s="64"/>
      <c r="Y686" s="137"/>
      <c r="Z686" s="137"/>
      <c r="AA686" s="137"/>
      <c r="AB686" s="137"/>
      <c r="AC686" s="137"/>
    </row>
    <row r="687" spans="3:29" ht="15.75" customHeight="1">
      <c r="C687" s="63"/>
      <c r="D687" s="63"/>
      <c r="E687" s="63"/>
      <c r="F687" s="63"/>
      <c r="G687" s="63"/>
      <c r="H687" s="63"/>
      <c r="I687" s="63"/>
      <c r="J687" s="63"/>
      <c r="K687" s="63"/>
      <c r="L687" s="63"/>
      <c r="M687" s="168"/>
      <c r="N687" s="63"/>
      <c r="O687" s="64"/>
      <c r="P687" s="64"/>
      <c r="Q687" s="64"/>
      <c r="R687" s="64"/>
      <c r="S687" s="64"/>
      <c r="T687" s="64"/>
      <c r="U687" s="64"/>
      <c r="V687" s="64"/>
      <c r="W687" s="64"/>
      <c r="X687" s="64"/>
      <c r="Y687" s="137"/>
      <c r="Z687" s="137"/>
      <c r="AA687" s="137"/>
      <c r="AB687" s="137"/>
      <c r="AC687" s="137"/>
    </row>
    <row r="688" spans="3:29" ht="15.75" customHeight="1">
      <c r="C688" s="63"/>
      <c r="D688" s="63"/>
      <c r="E688" s="63"/>
      <c r="F688" s="63"/>
      <c r="G688" s="63"/>
      <c r="H688" s="63"/>
      <c r="I688" s="63"/>
      <c r="J688" s="63"/>
      <c r="K688" s="63"/>
      <c r="L688" s="63"/>
      <c r="M688" s="168"/>
      <c r="N688" s="63"/>
      <c r="O688" s="64"/>
      <c r="P688" s="64"/>
      <c r="Q688" s="64"/>
      <c r="R688" s="64"/>
      <c r="S688" s="64"/>
      <c r="T688" s="64"/>
      <c r="U688" s="64"/>
      <c r="V688" s="64"/>
      <c r="W688" s="64"/>
      <c r="X688" s="64"/>
      <c r="Y688" s="137"/>
      <c r="Z688" s="137"/>
      <c r="AA688" s="137"/>
      <c r="AB688" s="137"/>
      <c r="AC688" s="137"/>
    </row>
    <row r="689" spans="3:29" ht="15.75" customHeight="1">
      <c r="C689" s="63"/>
      <c r="D689" s="63"/>
      <c r="E689" s="63"/>
      <c r="F689" s="63"/>
      <c r="G689" s="63"/>
      <c r="H689" s="63"/>
      <c r="I689" s="63"/>
      <c r="J689" s="63"/>
      <c r="K689" s="63"/>
      <c r="L689" s="63"/>
      <c r="M689" s="168"/>
      <c r="N689" s="63"/>
      <c r="O689" s="64"/>
      <c r="P689" s="64"/>
      <c r="Q689" s="64"/>
      <c r="R689" s="64"/>
      <c r="S689" s="64"/>
      <c r="T689" s="64"/>
      <c r="U689" s="64"/>
      <c r="V689" s="64"/>
      <c r="W689" s="64"/>
      <c r="X689" s="64"/>
      <c r="Y689" s="137"/>
      <c r="Z689" s="137"/>
      <c r="AA689" s="137"/>
      <c r="AB689" s="137"/>
      <c r="AC689" s="137"/>
    </row>
    <row r="690" spans="3:29" ht="15.75" customHeight="1">
      <c r="C690" s="63"/>
      <c r="D690" s="63"/>
      <c r="E690" s="63"/>
      <c r="F690" s="63"/>
      <c r="G690" s="63"/>
      <c r="H690" s="63"/>
      <c r="I690" s="63"/>
      <c r="J690" s="63"/>
      <c r="K690" s="63"/>
      <c r="L690" s="63"/>
      <c r="M690" s="168"/>
      <c r="N690" s="63"/>
      <c r="O690" s="64"/>
      <c r="P690" s="64"/>
      <c r="Q690" s="64"/>
      <c r="R690" s="64"/>
      <c r="S690" s="64"/>
      <c r="T690" s="64"/>
      <c r="U690" s="64"/>
      <c r="V690" s="64"/>
      <c r="W690" s="64"/>
      <c r="X690" s="64"/>
      <c r="Y690" s="137"/>
      <c r="Z690" s="137"/>
      <c r="AA690" s="137"/>
      <c r="AB690" s="137"/>
      <c r="AC690" s="137"/>
    </row>
    <row r="691" spans="3:29" ht="15.75" customHeight="1">
      <c r="C691" s="63"/>
      <c r="D691" s="63"/>
      <c r="E691" s="63"/>
      <c r="F691" s="63"/>
      <c r="G691" s="63"/>
      <c r="H691" s="63"/>
      <c r="I691" s="63"/>
      <c r="J691" s="63"/>
      <c r="K691" s="63"/>
      <c r="L691" s="63"/>
      <c r="M691" s="168"/>
      <c r="N691" s="63"/>
      <c r="O691" s="64"/>
      <c r="P691" s="64"/>
      <c r="Q691" s="64"/>
      <c r="R691" s="64"/>
      <c r="S691" s="64"/>
      <c r="T691" s="64"/>
      <c r="U691" s="64"/>
      <c r="V691" s="64"/>
      <c r="W691" s="64"/>
      <c r="X691" s="64"/>
      <c r="Y691" s="137"/>
      <c r="Z691" s="137"/>
      <c r="AA691" s="137"/>
      <c r="AB691" s="137"/>
      <c r="AC691" s="137"/>
    </row>
    <row r="692" spans="3:29" ht="15.75" customHeight="1">
      <c r="C692" s="63"/>
      <c r="D692" s="63"/>
      <c r="E692" s="63"/>
      <c r="F692" s="63"/>
      <c r="G692" s="63"/>
      <c r="H692" s="63"/>
      <c r="I692" s="63"/>
      <c r="J692" s="63"/>
      <c r="K692" s="63"/>
      <c r="L692" s="63"/>
      <c r="M692" s="168"/>
      <c r="N692" s="63"/>
      <c r="O692" s="64"/>
      <c r="P692" s="64"/>
      <c r="Q692" s="64"/>
      <c r="R692" s="64"/>
      <c r="S692" s="64"/>
      <c r="T692" s="64"/>
      <c r="U692" s="64"/>
      <c r="V692" s="64"/>
      <c r="W692" s="64"/>
      <c r="X692" s="64"/>
      <c r="Y692" s="137"/>
      <c r="Z692" s="137"/>
      <c r="AA692" s="137"/>
      <c r="AB692" s="137"/>
      <c r="AC692" s="137"/>
    </row>
    <row r="693" spans="3:29" ht="15.75" customHeight="1">
      <c r="C693" s="63"/>
      <c r="D693" s="63"/>
      <c r="E693" s="63"/>
      <c r="F693" s="63"/>
      <c r="G693" s="63"/>
      <c r="H693" s="63"/>
      <c r="I693" s="63"/>
      <c r="J693" s="63"/>
      <c r="K693" s="63"/>
      <c r="L693" s="63"/>
      <c r="M693" s="168"/>
      <c r="N693" s="63"/>
      <c r="O693" s="64"/>
      <c r="P693" s="64"/>
      <c r="Q693" s="64"/>
      <c r="R693" s="64"/>
      <c r="S693" s="64"/>
      <c r="T693" s="64"/>
      <c r="U693" s="64"/>
      <c r="V693" s="64"/>
      <c r="W693" s="64"/>
      <c r="X693" s="64"/>
      <c r="Y693" s="137"/>
      <c r="Z693" s="137"/>
      <c r="AA693" s="137"/>
      <c r="AB693" s="137"/>
      <c r="AC693" s="137"/>
    </row>
    <row r="694" spans="3:29" ht="15.75" customHeight="1">
      <c r="C694" s="63"/>
      <c r="D694" s="63"/>
      <c r="E694" s="63"/>
      <c r="F694" s="63"/>
      <c r="G694" s="63"/>
      <c r="H694" s="63"/>
      <c r="I694" s="63"/>
      <c r="J694" s="63"/>
      <c r="K694" s="63"/>
      <c r="L694" s="63"/>
      <c r="M694" s="168"/>
      <c r="N694" s="63"/>
      <c r="O694" s="64"/>
      <c r="P694" s="64"/>
      <c r="Q694" s="64"/>
      <c r="R694" s="64"/>
      <c r="S694" s="64"/>
      <c r="T694" s="64"/>
      <c r="U694" s="64"/>
      <c r="V694" s="64"/>
      <c r="W694" s="64"/>
      <c r="X694" s="64"/>
      <c r="Y694" s="137"/>
      <c r="Z694" s="137"/>
      <c r="AA694" s="137"/>
      <c r="AB694" s="137"/>
      <c r="AC694" s="137"/>
    </row>
    <row r="695" spans="3:29" ht="15.75" customHeight="1">
      <c r="C695" s="63"/>
      <c r="D695" s="63"/>
      <c r="E695" s="63"/>
      <c r="F695" s="63"/>
      <c r="G695" s="63"/>
      <c r="H695" s="63"/>
      <c r="I695" s="63"/>
      <c r="J695" s="63"/>
      <c r="K695" s="63"/>
      <c r="L695" s="63"/>
      <c r="M695" s="168"/>
      <c r="N695" s="63"/>
      <c r="O695" s="64"/>
      <c r="P695" s="64"/>
      <c r="Q695" s="64"/>
      <c r="R695" s="64"/>
      <c r="S695" s="64"/>
      <c r="T695" s="64"/>
      <c r="U695" s="64"/>
      <c r="V695" s="64"/>
      <c r="W695" s="64"/>
      <c r="X695" s="64"/>
      <c r="Y695" s="137"/>
      <c r="Z695" s="137"/>
      <c r="AA695" s="137"/>
      <c r="AB695" s="137"/>
      <c r="AC695" s="137"/>
    </row>
    <row r="696" spans="3:29" ht="15.75" customHeight="1">
      <c r="C696" s="63"/>
      <c r="D696" s="63"/>
      <c r="E696" s="63"/>
      <c r="F696" s="63"/>
      <c r="G696" s="63"/>
      <c r="H696" s="63"/>
      <c r="I696" s="63"/>
      <c r="J696" s="63"/>
      <c r="K696" s="63"/>
      <c r="L696" s="63"/>
      <c r="M696" s="168"/>
      <c r="N696" s="63"/>
      <c r="O696" s="64"/>
      <c r="P696" s="64"/>
      <c r="Q696" s="64"/>
      <c r="R696" s="64"/>
      <c r="S696" s="64"/>
      <c r="T696" s="64"/>
      <c r="U696" s="64"/>
      <c r="V696" s="64"/>
      <c r="W696" s="64"/>
      <c r="X696" s="64"/>
      <c r="Y696" s="137"/>
      <c r="Z696" s="137"/>
      <c r="AA696" s="137"/>
      <c r="AB696" s="137"/>
      <c r="AC696" s="137"/>
    </row>
    <row r="697" spans="3:29" ht="15.75" customHeight="1">
      <c r="C697" s="63"/>
      <c r="D697" s="63"/>
      <c r="E697" s="63"/>
      <c r="F697" s="63"/>
      <c r="G697" s="63"/>
      <c r="H697" s="63"/>
      <c r="I697" s="63"/>
      <c r="J697" s="63"/>
      <c r="K697" s="63"/>
      <c r="L697" s="63"/>
      <c r="M697" s="168"/>
      <c r="N697" s="63"/>
      <c r="O697" s="64"/>
      <c r="P697" s="64"/>
      <c r="Q697" s="64"/>
      <c r="R697" s="64"/>
      <c r="S697" s="64"/>
      <c r="T697" s="64"/>
      <c r="U697" s="64"/>
      <c r="V697" s="64"/>
      <c r="W697" s="64"/>
      <c r="X697" s="64"/>
      <c r="Y697" s="137"/>
      <c r="Z697" s="137"/>
      <c r="AA697" s="137"/>
      <c r="AB697" s="137"/>
      <c r="AC697" s="137"/>
    </row>
    <row r="698" spans="3:29" ht="15.75" customHeight="1">
      <c r="C698" s="63"/>
      <c r="D698" s="63"/>
      <c r="E698" s="63"/>
      <c r="F698" s="63"/>
      <c r="G698" s="63"/>
      <c r="H698" s="63"/>
      <c r="I698" s="63"/>
      <c r="J698" s="63"/>
      <c r="K698" s="63"/>
      <c r="L698" s="63"/>
      <c r="M698" s="168"/>
      <c r="N698" s="63"/>
      <c r="O698" s="64"/>
      <c r="P698" s="64"/>
      <c r="Q698" s="64"/>
      <c r="R698" s="64"/>
      <c r="S698" s="64"/>
      <c r="T698" s="64"/>
      <c r="U698" s="64"/>
      <c r="V698" s="64"/>
      <c r="W698" s="64"/>
      <c r="X698" s="64"/>
      <c r="Y698" s="137"/>
      <c r="Z698" s="137"/>
      <c r="AA698" s="137"/>
      <c r="AB698" s="137"/>
      <c r="AC698" s="137"/>
    </row>
    <row r="699" spans="3:29" ht="15.75" customHeight="1">
      <c r="C699" s="63"/>
      <c r="D699" s="63"/>
      <c r="E699" s="63"/>
      <c r="F699" s="63"/>
      <c r="G699" s="63"/>
      <c r="H699" s="63"/>
      <c r="I699" s="63"/>
      <c r="J699" s="63"/>
      <c r="K699" s="63"/>
      <c r="L699" s="63"/>
      <c r="M699" s="168"/>
      <c r="N699" s="63"/>
      <c r="O699" s="64"/>
      <c r="P699" s="64"/>
      <c r="Q699" s="64"/>
      <c r="R699" s="64"/>
      <c r="S699" s="64"/>
      <c r="T699" s="64"/>
      <c r="U699" s="64"/>
      <c r="V699" s="64"/>
      <c r="W699" s="64"/>
      <c r="X699" s="64"/>
      <c r="Y699" s="137"/>
      <c r="Z699" s="137"/>
      <c r="AA699" s="137"/>
      <c r="AB699" s="137"/>
      <c r="AC699" s="137"/>
    </row>
    <row r="700" spans="3:29" ht="15.75" customHeight="1">
      <c r="C700" s="63"/>
      <c r="D700" s="63"/>
      <c r="E700" s="63"/>
      <c r="F700" s="63"/>
      <c r="G700" s="63"/>
      <c r="H700" s="63"/>
      <c r="I700" s="63"/>
      <c r="J700" s="63"/>
      <c r="K700" s="63"/>
      <c r="L700" s="63"/>
      <c r="M700" s="168"/>
      <c r="N700" s="63"/>
      <c r="O700" s="64"/>
      <c r="P700" s="64"/>
      <c r="Q700" s="64"/>
      <c r="R700" s="64"/>
      <c r="S700" s="64"/>
      <c r="T700" s="64"/>
      <c r="U700" s="64"/>
      <c r="V700" s="64"/>
      <c r="W700" s="64"/>
      <c r="X700" s="64"/>
      <c r="Y700" s="137"/>
      <c r="Z700" s="137"/>
      <c r="AA700" s="137"/>
      <c r="AB700" s="137"/>
      <c r="AC700" s="137"/>
    </row>
    <row r="701" spans="3:29" ht="15.75" customHeight="1">
      <c r="C701" s="63"/>
      <c r="D701" s="63"/>
      <c r="E701" s="63"/>
      <c r="F701" s="63"/>
      <c r="G701" s="63"/>
      <c r="H701" s="63"/>
      <c r="I701" s="63"/>
      <c r="J701" s="63"/>
      <c r="K701" s="63"/>
      <c r="L701" s="63"/>
      <c r="M701" s="168"/>
      <c r="N701" s="63"/>
      <c r="O701" s="64"/>
      <c r="P701" s="64"/>
      <c r="Q701" s="64"/>
      <c r="R701" s="64"/>
      <c r="S701" s="64"/>
      <c r="T701" s="64"/>
      <c r="U701" s="64"/>
      <c r="V701" s="64"/>
      <c r="W701" s="64"/>
      <c r="X701" s="64"/>
      <c r="Y701" s="137"/>
      <c r="Z701" s="137"/>
      <c r="AA701" s="137"/>
      <c r="AB701" s="137"/>
      <c r="AC701" s="137"/>
    </row>
    <row r="702" spans="3:29" ht="15.75" customHeight="1">
      <c r="C702" s="63"/>
      <c r="D702" s="63"/>
      <c r="E702" s="63"/>
      <c r="F702" s="63"/>
      <c r="G702" s="63"/>
      <c r="H702" s="63"/>
      <c r="I702" s="63"/>
      <c r="J702" s="63"/>
      <c r="K702" s="63"/>
      <c r="L702" s="63"/>
      <c r="M702" s="168"/>
      <c r="N702" s="63"/>
      <c r="O702" s="64"/>
      <c r="P702" s="64"/>
      <c r="Q702" s="64"/>
      <c r="R702" s="64"/>
      <c r="S702" s="64"/>
      <c r="T702" s="64"/>
      <c r="U702" s="64"/>
      <c r="V702" s="64"/>
      <c r="W702" s="64"/>
      <c r="X702" s="64"/>
      <c r="Y702" s="137"/>
      <c r="Z702" s="137"/>
      <c r="AA702" s="137"/>
      <c r="AB702" s="137"/>
      <c r="AC702" s="137"/>
    </row>
    <row r="703" spans="3:29" ht="15.75" customHeight="1">
      <c r="C703" s="63"/>
      <c r="D703" s="63"/>
      <c r="E703" s="63"/>
      <c r="F703" s="63"/>
      <c r="G703" s="63"/>
      <c r="H703" s="63"/>
      <c r="I703" s="63"/>
      <c r="J703" s="63"/>
      <c r="K703" s="63"/>
      <c r="L703" s="63"/>
      <c r="M703" s="168"/>
      <c r="N703" s="63"/>
      <c r="O703" s="64"/>
      <c r="P703" s="64"/>
      <c r="Q703" s="64"/>
      <c r="R703" s="64"/>
      <c r="S703" s="64"/>
      <c r="T703" s="64"/>
      <c r="U703" s="64"/>
      <c r="V703" s="64"/>
      <c r="W703" s="64"/>
      <c r="X703" s="64"/>
      <c r="Y703" s="137"/>
      <c r="Z703" s="137"/>
      <c r="AA703" s="137"/>
      <c r="AB703" s="137"/>
      <c r="AC703" s="137"/>
    </row>
    <row r="704" spans="3:29" ht="15.75" customHeight="1">
      <c r="C704" s="63"/>
      <c r="D704" s="63"/>
      <c r="E704" s="63"/>
      <c r="F704" s="63"/>
      <c r="G704" s="63"/>
      <c r="H704" s="63"/>
      <c r="I704" s="63"/>
      <c r="J704" s="63"/>
      <c r="K704" s="63"/>
      <c r="L704" s="63"/>
      <c r="M704" s="168"/>
      <c r="N704" s="63"/>
      <c r="O704" s="64"/>
      <c r="P704" s="64"/>
      <c r="Q704" s="64"/>
      <c r="R704" s="64"/>
      <c r="S704" s="64"/>
      <c r="T704" s="64"/>
      <c r="U704" s="64"/>
      <c r="V704" s="64"/>
      <c r="W704" s="64"/>
      <c r="X704" s="64"/>
      <c r="Y704" s="137"/>
      <c r="Z704" s="137"/>
      <c r="AA704" s="137"/>
      <c r="AB704" s="137"/>
      <c r="AC704" s="137"/>
    </row>
    <row r="705" spans="3:29" ht="15.75" customHeight="1">
      <c r="C705" s="63"/>
      <c r="D705" s="63"/>
      <c r="E705" s="63"/>
      <c r="F705" s="63"/>
      <c r="G705" s="63"/>
      <c r="H705" s="63"/>
      <c r="I705" s="63"/>
      <c r="J705" s="63"/>
      <c r="K705" s="63"/>
      <c r="L705" s="63"/>
      <c r="M705" s="168"/>
      <c r="N705" s="63"/>
      <c r="O705" s="64"/>
      <c r="P705" s="64"/>
      <c r="Q705" s="64"/>
      <c r="R705" s="64"/>
      <c r="S705" s="64"/>
      <c r="T705" s="64"/>
      <c r="U705" s="64"/>
      <c r="V705" s="64"/>
      <c r="W705" s="64"/>
      <c r="X705" s="64"/>
      <c r="Y705" s="137"/>
      <c r="Z705" s="137"/>
      <c r="AA705" s="137"/>
      <c r="AB705" s="137"/>
      <c r="AC705" s="137"/>
    </row>
    <row r="706" spans="3:29" ht="15.75" customHeight="1">
      <c r="C706" s="63"/>
      <c r="D706" s="63"/>
      <c r="E706" s="63"/>
      <c r="F706" s="63"/>
      <c r="G706" s="63"/>
      <c r="H706" s="63"/>
      <c r="I706" s="63"/>
      <c r="J706" s="63"/>
      <c r="K706" s="63"/>
      <c r="L706" s="63"/>
      <c r="M706" s="168"/>
      <c r="N706" s="63"/>
      <c r="O706" s="64"/>
      <c r="P706" s="64"/>
      <c r="Q706" s="64"/>
      <c r="R706" s="64"/>
      <c r="S706" s="64"/>
      <c r="T706" s="64"/>
      <c r="U706" s="64"/>
      <c r="V706" s="64"/>
      <c r="W706" s="64"/>
      <c r="X706" s="64"/>
      <c r="Y706" s="137"/>
      <c r="Z706" s="137"/>
      <c r="AA706" s="137"/>
      <c r="AB706" s="137"/>
      <c r="AC706" s="137"/>
    </row>
    <row r="707" spans="3:29" ht="15.75" customHeight="1">
      <c r="C707" s="63"/>
      <c r="D707" s="63"/>
      <c r="E707" s="63"/>
      <c r="F707" s="63"/>
      <c r="G707" s="63"/>
      <c r="H707" s="63"/>
      <c r="I707" s="63"/>
      <c r="J707" s="63"/>
      <c r="K707" s="63"/>
      <c r="L707" s="63"/>
      <c r="M707" s="168"/>
      <c r="N707" s="63"/>
      <c r="O707" s="64"/>
      <c r="P707" s="64"/>
      <c r="Q707" s="64"/>
      <c r="R707" s="64"/>
      <c r="S707" s="64"/>
      <c r="T707" s="64"/>
      <c r="U707" s="64"/>
      <c r="V707" s="64"/>
      <c r="W707" s="64"/>
      <c r="X707" s="64"/>
      <c r="Y707" s="137"/>
      <c r="Z707" s="137"/>
      <c r="AA707" s="137"/>
      <c r="AB707" s="137"/>
      <c r="AC707" s="137"/>
    </row>
    <row r="708" spans="3:29" ht="15.75" customHeight="1">
      <c r="C708" s="63"/>
      <c r="D708" s="63"/>
      <c r="E708" s="63"/>
      <c r="F708" s="63"/>
      <c r="G708" s="63"/>
      <c r="H708" s="63"/>
      <c r="I708" s="63"/>
      <c r="J708" s="63"/>
      <c r="K708" s="63"/>
      <c r="L708" s="63"/>
      <c r="M708" s="168"/>
      <c r="N708" s="63"/>
      <c r="O708" s="64"/>
      <c r="P708" s="64"/>
      <c r="Q708" s="64"/>
      <c r="R708" s="64"/>
      <c r="S708" s="64"/>
      <c r="T708" s="64"/>
      <c r="U708" s="64"/>
      <c r="V708" s="64"/>
      <c r="W708" s="64"/>
      <c r="X708" s="64"/>
      <c r="Y708" s="137"/>
      <c r="Z708" s="137"/>
      <c r="AA708" s="137"/>
      <c r="AB708" s="137"/>
      <c r="AC708" s="137"/>
    </row>
    <row r="709" spans="3:29" ht="15.75" customHeight="1">
      <c r="C709" s="63"/>
      <c r="D709" s="63"/>
      <c r="E709" s="63"/>
      <c r="F709" s="63"/>
      <c r="G709" s="63"/>
      <c r="H709" s="63"/>
      <c r="I709" s="63"/>
      <c r="J709" s="63"/>
      <c r="K709" s="63"/>
      <c r="L709" s="63"/>
      <c r="M709" s="168"/>
      <c r="N709" s="63"/>
      <c r="O709" s="64"/>
      <c r="P709" s="64"/>
      <c r="Q709" s="64"/>
      <c r="R709" s="64"/>
      <c r="S709" s="64"/>
      <c r="T709" s="64"/>
      <c r="U709" s="64"/>
      <c r="V709" s="64"/>
      <c r="W709" s="64"/>
      <c r="X709" s="64"/>
      <c r="Y709" s="137"/>
      <c r="Z709" s="137"/>
      <c r="AA709" s="137"/>
      <c r="AB709" s="137"/>
      <c r="AC709" s="137"/>
    </row>
    <row r="710" spans="3:29" ht="15.75" customHeight="1">
      <c r="C710" s="63"/>
      <c r="D710" s="63"/>
      <c r="E710" s="63"/>
      <c r="F710" s="63"/>
      <c r="G710" s="63"/>
      <c r="H710" s="63"/>
      <c r="I710" s="63"/>
      <c r="J710" s="63"/>
      <c r="K710" s="63"/>
      <c r="L710" s="63"/>
      <c r="M710" s="168"/>
      <c r="N710" s="63"/>
      <c r="O710" s="64"/>
      <c r="P710" s="64"/>
      <c r="Q710" s="64"/>
      <c r="R710" s="64"/>
      <c r="S710" s="64"/>
      <c r="T710" s="64"/>
      <c r="U710" s="64"/>
      <c r="V710" s="64"/>
      <c r="W710" s="64"/>
      <c r="X710" s="64"/>
      <c r="Y710" s="137"/>
      <c r="Z710" s="137"/>
      <c r="AA710" s="137"/>
      <c r="AB710" s="137"/>
      <c r="AC710" s="137"/>
    </row>
    <row r="711" spans="3:29" ht="15.75" customHeight="1">
      <c r="C711" s="63"/>
      <c r="D711" s="63"/>
      <c r="E711" s="63"/>
      <c r="F711" s="63"/>
      <c r="G711" s="63"/>
      <c r="H711" s="63"/>
      <c r="I711" s="63"/>
      <c r="J711" s="63"/>
      <c r="K711" s="63"/>
      <c r="L711" s="63"/>
      <c r="M711" s="168"/>
      <c r="N711" s="63"/>
      <c r="O711" s="64"/>
      <c r="P711" s="64"/>
      <c r="Q711" s="64"/>
      <c r="R711" s="64"/>
      <c r="S711" s="64"/>
      <c r="T711" s="64"/>
      <c r="U711" s="64"/>
      <c r="V711" s="64"/>
      <c r="W711" s="64"/>
      <c r="X711" s="64"/>
      <c r="Y711" s="137"/>
      <c r="Z711" s="137"/>
      <c r="AA711" s="137"/>
      <c r="AB711" s="137"/>
      <c r="AC711" s="137"/>
    </row>
    <row r="712" spans="3:29" ht="15.75" customHeight="1">
      <c r="C712" s="63"/>
      <c r="D712" s="63"/>
      <c r="E712" s="63"/>
      <c r="F712" s="63"/>
      <c r="G712" s="63"/>
      <c r="H712" s="63"/>
      <c r="I712" s="63"/>
      <c r="J712" s="63"/>
      <c r="K712" s="63"/>
      <c r="L712" s="63"/>
      <c r="M712" s="168"/>
      <c r="N712" s="63"/>
      <c r="O712" s="64"/>
      <c r="P712" s="64"/>
      <c r="Q712" s="64"/>
      <c r="R712" s="64"/>
      <c r="S712" s="64"/>
      <c r="T712" s="64"/>
      <c r="U712" s="64"/>
      <c r="V712" s="64"/>
      <c r="W712" s="64"/>
      <c r="X712" s="64"/>
      <c r="Y712" s="137"/>
      <c r="Z712" s="137"/>
      <c r="AA712" s="137"/>
      <c r="AB712" s="137"/>
      <c r="AC712" s="137"/>
    </row>
    <row r="713" spans="3:29" ht="15.75" customHeight="1">
      <c r="C713" s="63"/>
      <c r="D713" s="63"/>
      <c r="E713" s="63"/>
      <c r="F713" s="63"/>
      <c r="G713" s="63"/>
      <c r="H713" s="63"/>
      <c r="I713" s="63"/>
      <c r="J713" s="63"/>
      <c r="K713" s="63"/>
      <c r="L713" s="63"/>
      <c r="M713" s="168"/>
      <c r="N713" s="63"/>
      <c r="O713" s="64"/>
      <c r="P713" s="64"/>
      <c r="Q713" s="64"/>
      <c r="R713" s="64"/>
      <c r="S713" s="64"/>
      <c r="T713" s="64"/>
      <c r="U713" s="64"/>
      <c r="V713" s="64"/>
      <c r="W713" s="64"/>
      <c r="X713" s="64"/>
      <c r="Y713" s="137"/>
      <c r="Z713" s="137"/>
      <c r="AA713" s="137"/>
      <c r="AB713" s="137"/>
      <c r="AC713" s="137"/>
    </row>
    <row r="714" spans="3:29" ht="15.75" customHeight="1">
      <c r="C714" s="63"/>
      <c r="D714" s="63"/>
      <c r="E714" s="63"/>
      <c r="F714" s="63"/>
      <c r="G714" s="63"/>
      <c r="H714" s="63"/>
      <c r="I714" s="63"/>
      <c r="J714" s="63"/>
      <c r="K714" s="63"/>
      <c r="L714" s="63"/>
      <c r="M714" s="168"/>
      <c r="N714" s="63"/>
      <c r="O714" s="64"/>
      <c r="P714" s="64"/>
      <c r="Q714" s="64"/>
      <c r="R714" s="64"/>
      <c r="S714" s="64"/>
      <c r="T714" s="64"/>
      <c r="U714" s="64"/>
      <c r="V714" s="64"/>
      <c r="W714" s="64"/>
      <c r="X714" s="64"/>
      <c r="Y714" s="137"/>
      <c r="Z714" s="137"/>
      <c r="AA714" s="137"/>
      <c r="AB714" s="137"/>
      <c r="AC714" s="137"/>
    </row>
    <row r="715" spans="3:29" ht="15.75" customHeight="1">
      <c r="C715" s="63"/>
      <c r="D715" s="63"/>
      <c r="E715" s="63"/>
      <c r="F715" s="63"/>
      <c r="G715" s="63"/>
      <c r="H715" s="63"/>
      <c r="I715" s="63"/>
      <c r="J715" s="63"/>
      <c r="K715" s="63"/>
      <c r="L715" s="63"/>
      <c r="M715" s="168"/>
      <c r="N715" s="63"/>
      <c r="O715" s="64"/>
      <c r="P715" s="64"/>
      <c r="Q715" s="64"/>
      <c r="R715" s="64"/>
      <c r="S715" s="64"/>
      <c r="T715" s="64"/>
      <c r="U715" s="64"/>
      <c r="V715" s="64"/>
      <c r="W715" s="64"/>
      <c r="X715" s="64"/>
      <c r="Y715" s="137"/>
      <c r="Z715" s="137"/>
      <c r="AA715" s="137"/>
      <c r="AB715" s="137"/>
      <c r="AC715" s="137"/>
    </row>
    <row r="716" spans="3:29" ht="15.75" customHeight="1">
      <c r="C716" s="63"/>
      <c r="D716" s="63"/>
      <c r="E716" s="63"/>
      <c r="F716" s="63"/>
      <c r="G716" s="63"/>
      <c r="H716" s="63"/>
      <c r="I716" s="63"/>
      <c r="J716" s="63"/>
      <c r="K716" s="63"/>
      <c r="L716" s="63"/>
      <c r="M716" s="168"/>
      <c r="N716" s="63"/>
      <c r="O716" s="64"/>
      <c r="P716" s="64"/>
      <c r="Q716" s="64"/>
      <c r="R716" s="64"/>
      <c r="S716" s="64"/>
      <c r="T716" s="64"/>
      <c r="U716" s="64"/>
      <c r="V716" s="64"/>
      <c r="W716" s="64"/>
      <c r="X716" s="64"/>
      <c r="Y716" s="137"/>
      <c r="Z716" s="137"/>
      <c r="AA716" s="137"/>
      <c r="AB716" s="137"/>
      <c r="AC716" s="137"/>
    </row>
    <row r="717" spans="3:29" ht="15.75" customHeight="1">
      <c r="C717" s="63"/>
      <c r="D717" s="63"/>
      <c r="E717" s="63"/>
      <c r="F717" s="63"/>
      <c r="G717" s="63"/>
      <c r="H717" s="63"/>
      <c r="I717" s="63"/>
      <c r="J717" s="63"/>
      <c r="K717" s="63"/>
      <c r="L717" s="63"/>
      <c r="M717" s="168"/>
      <c r="N717" s="63"/>
      <c r="O717" s="64"/>
      <c r="P717" s="64"/>
      <c r="Q717" s="64"/>
      <c r="R717" s="64"/>
      <c r="S717" s="64"/>
      <c r="T717" s="64"/>
      <c r="U717" s="64"/>
      <c r="V717" s="64"/>
      <c r="W717" s="64"/>
      <c r="X717" s="64"/>
      <c r="Y717" s="137"/>
      <c r="Z717" s="137"/>
      <c r="AA717" s="137"/>
      <c r="AB717" s="137"/>
      <c r="AC717" s="137"/>
    </row>
    <row r="718" spans="3:29" ht="15.75" customHeight="1">
      <c r="C718" s="63"/>
      <c r="D718" s="63"/>
      <c r="E718" s="63"/>
      <c r="F718" s="63"/>
      <c r="G718" s="63"/>
      <c r="H718" s="63"/>
      <c r="I718" s="63"/>
      <c r="J718" s="63"/>
      <c r="K718" s="63"/>
      <c r="L718" s="63"/>
      <c r="M718" s="168"/>
      <c r="N718" s="63"/>
      <c r="O718" s="64"/>
      <c r="P718" s="64"/>
      <c r="Q718" s="64"/>
      <c r="R718" s="64"/>
      <c r="S718" s="64"/>
      <c r="T718" s="64"/>
      <c r="U718" s="64"/>
      <c r="V718" s="64"/>
      <c r="W718" s="64"/>
      <c r="X718" s="64"/>
      <c r="Y718" s="137"/>
      <c r="Z718" s="137"/>
      <c r="AA718" s="137"/>
      <c r="AB718" s="137"/>
      <c r="AC718" s="137"/>
    </row>
    <row r="719" spans="3:29" ht="15.75" customHeight="1">
      <c r="C719" s="63"/>
      <c r="D719" s="63"/>
      <c r="E719" s="63"/>
      <c r="F719" s="63"/>
      <c r="G719" s="63"/>
      <c r="H719" s="63"/>
      <c r="I719" s="63"/>
      <c r="J719" s="63"/>
      <c r="K719" s="63"/>
      <c r="L719" s="63"/>
      <c r="M719" s="168"/>
      <c r="N719" s="63"/>
      <c r="O719" s="64"/>
      <c r="P719" s="64"/>
      <c r="Q719" s="64"/>
      <c r="R719" s="64"/>
      <c r="S719" s="64"/>
      <c r="T719" s="64"/>
      <c r="U719" s="64"/>
      <c r="V719" s="64"/>
      <c r="W719" s="64"/>
      <c r="X719" s="64"/>
      <c r="Y719" s="137"/>
      <c r="Z719" s="137"/>
      <c r="AA719" s="137"/>
      <c r="AB719" s="137"/>
      <c r="AC719" s="137"/>
    </row>
    <row r="720" spans="3:29" ht="15.75" customHeight="1">
      <c r="C720" s="63"/>
      <c r="D720" s="63"/>
      <c r="E720" s="63"/>
      <c r="F720" s="63"/>
      <c r="G720" s="63"/>
      <c r="H720" s="63"/>
      <c r="I720" s="63"/>
      <c r="J720" s="63"/>
      <c r="K720" s="63"/>
      <c r="L720" s="63"/>
      <c r="M720" s="168"/>
      <c r="N720" s="63"/>
      <c r="O720" s="64"/>
      <c r="P720" s="64"/>
      <c r="Q720" s="64"/>
      <c r="R720" s="64"/>
      <c r="S720" s="64"/>
      <c r="T720" s="64"/>
      <c r="U720" s="64"/>
      <c r="V720" s="64"/>
      <c r="W720" s="64"/>
      <c r="X720" s="64"/>
      <c r="Y720" s="137"/>
      <c r="Z720" s="137"/>
      <c r="AA720" s="137"/>
      <c r="AB720" s="137"/>
      <c r="AC720" s="137"/>
    </row>
    <row r="721" spans="3:29" ht="15.75" customHeight="1">
      <c r="C721" s="63"/>
      <c r="D721" s="63"/>
      <c r="E721" s="63"/>
      <c r="F721" s="63"/>
      <c r="G721" s="63"/>
      <c r="H721" s="63"/>
      <c r="I721" s="63"/>
      <c r="J721" s="63"/>
      <c r="K721" s="63"/>
      <c r="L721" s="63"/>
      <c r="M721" s="168"/>
      <c r="N721" s="63"/>
      <c r="O721" s="64"/>
      <c r="P721" s="64"/>
      <c r="Q721" s="64"/>
      <c r="R721" s="64"/>
      <c r="S721" s="64"/>
      <c r="T721" s="64"/>
      <c r="U721" s="64"/>
      <c r="V721" s="64"/>
      <c r="W721" s="64"/>
      <c r="X721" s="64"/>
      <c r="Y721" s="137"/>
      <c r="Z721" s="137"/>
      <c r="AA721" s="137"/>
      <c r="AB721" s="137"/>
      <c r="AC721" s="137"/>
    </row>
    <row r="722" spans="3:29" ht="15.75" customHeight="1">
      <c r="C722" s="63"/>
      <c r="D722" s="63"/>
      <c r="E722" s="63"/>
      <c r="F722" s="63"/>
      <c r="G722" s="63"/>
      <c r="H722" s="63"/>
      <c r="I722" s="63"/>
      <c r="J722" s="63"/>
      <c r="K722" s="63"/>
      <c r="L722" s="63"/>
      <c r="M722" s="168"/>
      <c r="N722" s="63"/>
      <c r="O722" s="64"/>
      <c r="P722" s="64"/>
      <c r="Q722" s="64"/>
      <c r="R722" s="64"/>
      <c r="S722" s="64"/>
      <c r="T722" s="64"/>
      <c r="U722" s="64"/>
      <c r="V722" s="64"/>
      <c r="W722" s="64"/>
      <c r="X722" s="64"/>
      <c r="Y722" s="137"/>
      <c r="Z722" s="137"/>
      <c r="AA722" s="137"/>
      <c r="AB722" s="137"/>
      <c r="AC722" s="137"/>
    </row>
    <row r="723" spans="3:29" ht="15.75" customHeight="1">
      <c r="C723" s="63"/>
      <c r="D723" s="63"/>
      <c r="E723" s="63"/>
      <c r="F723" s="63"/>
      <c r="G723" s="63"/>
      <c r="H723" s="63"/>
      <c r="I723" s="63"/>
      <c r="J723" s="63"/>
      <c r="K723" s="63"/>
      <c r="L723" s="63"/>
      <c r="M723" s="168"/>
      <c r="N723" s="63"/>
      <c r="O723" s="64"/>
      <c r="P723" s="64"/>
      <c r="Q723" s="64"/>
      <c r="R723" s="64"/>
      <c r="S723" s="64"/>
      <c r="T723" s="64"/>
      <c r="U723" s="64"/>
      <c r="V723" s="64"/>
      <c r="W723" s="64"/>
      <c r="X723" s="64"/>
      <c r="Y723" s="137"/>
      <c r="Z723" s="137"/>
      <c r="AA723" s="137"/>
      <c r="AB723" s="137"/>
      <c r="AC723" s="137"/>
    </row>
    <row r="724" spans="3:29" ht="15.75" customHeight="1">
      <c r="C724" s="63"/>
      <c r="D724" s="63"/>
      <c r="E724" s="63"/>
      <c r="F724" s="63"/>
      <c r="G724" s="63"/>
      <c r="H724" s="63"/>
      <c r="I724" s="63"/>
      <c r="J724" s="63"/>
      <c r="K724" s="63"/>
      <c r="L724" s="63"/>
      <c r="M724" s="168"/>
      <c r="N724" s="63"/>
      <c r="O724" s="64"/>
      <c r="P724" s="64"/>
      <c r="Q724" s="64"/>
      <c r="R724" s="64"/>
      <c r="S724" s="64"/>
      <c r="T724" s="64"/>
      <c r="U724" s="64"/>
      <c r="V724" s="64"/>
      <c r="W724" s="64"/>
      <c r="X724" s="64"/>
      <c r="Y724" s="137"/>
      <c r="Z724" s="137"/>
      <c r="AA724" s="137"/>
      <c r="AB724" s="137"/>
      <c r="AC724" s="137"/>
    </row>
    <row r="725" spans="3:29" ht="15.75" customHeight="1">
      <c r="C725" s="63"/>
      <c r="D725" s="63"/>
      <c r="E725" s="63"/>
      <c r="F725" s="63"/>
      <c r="G725" s="63"/>
      <c r="H725" s="63"/>
      <c r="I725" s="63"/>
      <c r="J725" s="63"/>
      <c r="K725" s="63"/>
      <c r="L725" s="63"/>
      <c r="M725" s="168"/>
      <c r="N725" s="63"/>
      <c r="O725" s="64"/>
      <c r="P725" s="64"/>
      <c r="Q725" s="64"/>
      <c r="R725" s="64"/>
      <c r="S725" s="64"/>
      <c r="T725" s="64"/>
      <c r="U725" s="64"/>
      <c r="V725" s="64"/>
      <c r="W725" s="64"/>
      <c r="X725" s="64"/>
      <c r="Y725" s="137"/>
      <c r="Z725" s="137"/>
      <c r="AA725" s="137"/>
      <c r="AB725" s="137"/>
      <c r="AC725" s="137"/>
    </row>
    <row r="726" spans="3:29" ht="15.75" customHeight="1">
      <c r="C726" s="63"/>
      <c r="D726" s="63"/>
      <c r="E726" s="63"/>
      <c r="F726" s="63"/>
      <c r="G726" s="63"/>
      <c r="H726" s="63"/>
      <c r="I726" s="63"/>
      <c r="J726" s="63"/>
      <c r="K726" s="63"/>
      <c r="L726" s="63"/>
      <c r="M726" s="168"/>
      <c r="N726" s="63"/>
      <c r="O726" s="64"/>
      <c r="P726" s="64"/>
      <c r="Q726" s="64"/>
      <c r="R726" s="64"/>
      <c r="S726" s="64"/>
      <c r="T726" s="64"/>
      <c r="U726" s="64"/>
      <c r="V726" s="64"/>
      <c r="W726" s="64"/>
      <c r="X726" s="64"/>
      <c r="Y726" s="137"/>
      <c r="Z726" s="137"/>
      <c r="AA726" s="137"/>
      <c r="AB726" s="137"/>
      <c r="AC726" s="137"/>
    </row>
    <row r="727" spans="3:29" ht="15.75" customHeight="1">
      <c r="C727" s="63"/>
      <c r="D727" s="63"/>
      <c r="E727" s="63"/>
      <c r="F727" s="63"/>
      <c r="G727" s="63"/>
      <c r="H727" s="63"/>
      <c r="I727" s="63"/>
      <c r="J727" s="63"/>
      <c r="K727" s="63"/>
      <c r="L727" s="63"/>
      <c r="M727" s="168"/>
      <c r="N727" s="63"/>
      <c r="O727" s="64"/>
      <c r="P727" s="64"/>
      <c r="Q727" s="64"/>
      <c r="R727" s="64"/>
      <c r="S727" s="64"/>
      <c r="T727" s="64"/>
      <c r="U727" s="64"/>
      <c r="V727" s="64"/>
      <c r="W727" s="64"/>
      <c r="X727" s="64"/>
      <c r="Y727" s="137"/>
      <c r="Z727" s="137"/>
      <c r="AA727" s="137"/>
      <c r="AB727" s="137"/>
      <c r="AC727" s="137"/>
    </row>
    <row r="728" spans="3:29" ht="15.75" customHeight="1">
      <c r="C728" s="63"/>
      <c r="D728" s="63"/>
      <c r="E728" s="63"/>
      <c r="F728" s="63"/>
      <c r="G728" s="63"/>
      <c r="H728" s="63"/>
      <c r="I728" s="63"/>
      <c r="J728" s="63"/>
      <c r="K728" s="63"/>
      <c r="L728" s="63"/>
      <c r="M728" s="168"/>
      <c r="N728" s="63"/>
      <c r="O728" s="64"/>
      <c r="P728" s="64"/>
      <c r="Q728" s="64"/>
      <c r="R728" s="64"/>
      <c r="S728" s="64"/>
      <c r="T728" s="64"/>
      <c r="U728" s="64"/>
      <c r="V728" s="64"/>
      <c r="W728" s="64"/>
      <c r="X728" s="64"/>
      <c r="Y728" s="137"/>
      <c r="Z728" s="137"/>
      <c r="AA728" s="137"/>
      <c r="AB728" s="137"/>
      <c r="AC728" s="137"/>
    </row>
    <row r="729" spans="3:29" ht="15.75" customHeight="1">
      <c r="C729" s="63"/>
      <c r="D729" s="63"/>
      <c r="E729" s="63"/>
      <c r="F729" s="63"/>
      <c r="G729" s="63"/>
      <c r="H729" s="63"/>
      <c r="I729" s="63"/>
      <c r="J729" s="63"/>
      <c r="K729" s="63"/>
      <c r="L729" s="63"/>
      <c r="M729" s="168"/>
      <c r="N729" s="63"/>
      <c r="O729" s="64"/>
      <c r="P729" s="64"/>
      <c r="Q729" s="64"/>
      <c r="R729" s="64"/>
      <c r="S729" s="64"/>
      <c r="T729" s="64"/>
      <c r="U729" s="64"/>
      <c r="V729" s="64"/>
      <c r="W729" s="64"/>
      <c r="X729" s="64"/>
      <c r="Y729" s="137"/>
      <c r="Z729" s="137"/>
      <c r="AA729" s="137"/>
      <c r="AB729" s="137"/>
      <c r="AC729" s="137"/>
    </row>
    <row r="730" spans="3:29" ht="15.75" customHeight="1">
      <c r="C730" s="63"/>
      <c r="D730" s="63"/>
      <c r="E730" s="63"/>
      <c r="F730" s="63"/>
      <c r="G730" s="63"/>
      <c r="H730" s="63"/>
      <c r="I730" s="63"/>
      <c r="J730" s="63"/>
      <c r="K730" s="63"/>
      <c r="L730" s="63"/>
      <c r="M730" s="168"/>
      <c r="N730" s="63"/>
      <c r="O730" s="64"/>
      <c r="P730" s="64"/>
      <c r="Q730" s="64"/>
      <c r="R730" s="64"/>
      <c r="S730" s="64"/>
      <c r="T730" s="64"/>
      <c r="U730" s="64"/>
      <c r="V730" s="64"/>
      <c r="W730" s="64"/>
      <c r="X730" s="64"/>
      <c r="Y730" s="137"/>
      <c r="Z730" s="137"/>
      <c r="AA730" s="137"/>
      <c r="AB730" s="137"/>
      <c r="AC730" s="137"/>
    </row>
    <row r="731" spans="3:29" ht="15.75" customHeight="1">
      <c r="C731" s="63"/>
      <c r="D731" s="63"/>
      <c r="E731" s="63"/>
      <c r="F731" s="63"/>
      <c r="G731" s="63"/>
      <c r="H731" s="63"/>
      <c r="I731" s="63"/>
      <c r="J731" s="63"/>
      <c r="K731" s="63"/>
      <c r="L731" s="63"/>
      <c r="M731" s="168"/>
      <c r="N731" s="63"/>
      <c r="O731" s="64"/>
      <c r="P731" s="64"/>
      <c r="Q731" s="64"/>
      <c r="R731" s="64"/>
      <c r="S731" s="64"/>
      <c r="T731" s="64"/>
      <c r="U731" s="64"/>
      <c r="V731" s="64"/>
      <c r="W731" s="64"/>
      <c r="X731" s="64"/>
      <c r="Y731" s="137"/>
      <c r="Z731" s="137"/>
      <c r="AA731" s="137"/>
      <c r="AB731" s="137"/>
      <c r="AC731" s="137"/>
    </row>
    <row r="732" spans="3:29" ht="15.75" customHeight="1">
      <c r="C732" s="63"/>
      <c r="D732" s="63"/>
      <c r="E732" s="63"/>
      <c r="F732" s="63"/>
      <c r="G732" s="63"/>
      <c r="H732" s="63"/>
      <c r="I732" s="63"/>
      <c r="J732" s="63"/>
      <c r="K732" s="63"/>
      <c r="L732" s="63"/>
      <c r="M732" s="168"/>
      <c r="N732" s="63"/>
      <c r="O732" s="64"/>
      <c r="P732" s="64"/>
      <c r="Q732" s="64"/>
      <c r="R732" s="64"/>
      <c r="S732" s="64"/>
      <c r="T732" s="64"/>
      <c r="U732" s="64"/>
      <c r="V732" s="64"/>
      <c r="W732" s="64"/>
      <c r="X732" s="64"/>
      <c r="Y732" s="137"/>
      <c r="Z732" s="137"/>
      <c r="AA732" s="137"/>
      <c r="AB732" s="137"/>
      <c r="AC732" s="137"/>
    </row>
    <row r="733" spans="3:29" ht="15.75" customHeight="1">
      <c r="C733" s="63"/>
      <c r="D733" s="63"/>
      <c r="E733" s="63"/>
      <c r="F733" s="63"/>
      <c r="G733" s="63"/>
      <c r="H733" s="63"/>
      <c r="I733" s="63"/>
      <c r="J733" s="63"/>
      <c r="K733" s="63"/>
      <c r="L733" s="63"/>
      <c r="M733" s="168"/>
      <c r="N733" s="63"/>
      <c r="O733" s="64"/>
      <c r="P733" s="64"/>
      <c r="Q733" s="64"/>
      <c r="R733" s="64"/>
      <c r="S733" s="64"/>
      <c r="T733" s="64"/>
      <c r="U733" s="64"/>
      <c r="V733" s="64"/>
      <c r="W733" s="64"/>
      <c r="X733" s="64"/>
      <c r="Y733" s="137"/>
      <c r="Z733" s="137"/>
      <c r="AA733" s="137"/>
      <c r="AB733" s="137"/>
      <c r="AC733" s="137"/>
    </row>
    <row r="734" spans="3:29" ht="15.75" customHeight="1">
      <c r="C734" s="63"/>
      <c r="D734" s="63"/>
      <c r="E734" s="63"/>
      <c r="F734" s="63"/>
      <c r="G734" s="63"/>
      <c r="H734" s="63"/>
      <c r="I734" s="63"/>
      <c r="J734" s="63"/>
      <c r="K734" s="63"/>
      <c r="L734" s="63"/>
      <c r="M734" s="168"/>
      <c r="N734" s="63"/>
      <c r="O734" s="64"/>
      <c r="P734" s="64"/>
      <c r="Q734" s="64"/>
      <c r="R734" s="64"/>
      <c r="S734" s="64"/>
      <c r="T734" s="64"/>
      <c r="U734" s="64"/>
      <c r="V734" s="64"/>
      <c r="W734" s="64"/>
      <c r="X734" s="64"/>
      <c r="Y734" s="137"/>
      <c r="Z734" s="137"/>
      <c r="AA734" s="137"/>
      <c r="AB734" s="137"/>
      <c r="AC734" s="137"/>
    </row>
    <row r="735" spans="3:29" ht="15.75" customHeight="1">
      <c r="C735" s="63"/>
      <c r="D735" s="63"/>
      <c r="E735" s="63"/>
      <c r="F735" s="63"/>
      <c r="G735" s="63"/>
      <c r="H735" s="63"/>
      <c r="I735" s="63"/>
      <c r="J735" s="63"/>
      <c r="K735" s="63"/>
      <c r="L735" s="63"/>
      <c r="M735" s="168"/>
      <c r="N735" s="63"/>
      <c r="O735" s="64"/>
      <c r="P735" s="64"/>
      <c r="Q735" s="64"/>
      <c r="R735" s="64"/>
      <c r="S735" s="64"/>
      <c r="T735" s="64"/>
      <c r="U735" s="64"/>
      <c r="V735" s="64"/>
      <c r="W735" s="64"/>
      <c r="X735" s="64"/>
      <c r="Y735" s="137"/>
      <c r="Z735" s="137"/>
      <c r="AA735" s="137"/>
      <c r="AB735" s="137"/>
      <c r="AC735" s="137"/>
    </row>
    <row r="736" spans="3:29" ht="15.75" customHeight="1">
      <c r="C736" s="63"/>
      <c r="D736" s="63"/>
      <c r="E736" s="63"/>
      <c r="F736" s="63"/>
      <c r="G736" s="63"/>
      <c r="H736" s="63"/>
      <c r="I736" s="63"/>
      <c r="J736" s="63"/>
      <c r="K736" s="63"/>
      <c r="L736" s="63"/>
      <c r="M736" s="168"/>
      <c r="N736" s="63"/>
      <c r="O736" s="64"/>
      <c r="P736" s="64"/>
      <c r="Q736" s="64"/>
      <c r="R736" s="64"/>
      <c r="S736" s="64"/>
      <c r="T736" s="64"/>
      <c r="U736" s="64"/>
      <c r="V736" s="64"/>
      <c r="W736" s="64"/>
      <c r="X736" s="64"/>
      <c r="Y736" s="137"/>
      <c r="Z736" s="137"/>
      <c r="AA736" s="137"/>
      <c r="AB736" s="137"/>
      <c r="AC736" s="137"/>
    </row>
    <row r="737" spans="3:29" ht="15.75" customHeight="1">
      <c r="C737" s="63"/>
      <c r="D737" s="63"/>
      <c r="E737" s="63"/>
      <c r="F737" s="63"/>
      <c r="G737" s="63"/>
      <c r="H737" s="63"/>
      <c r="I737" s="63"/>
      <c r="J737" s="63"/>
      <c r="K737" s="63"/>
      <c r="L737" s="63"/>
      <c r="M737" s="168"/>
      <c r="N737" s="63"/>
      <c r="O737" s="64"/>
      <c r="P737" s="64"/>
      <c r="Q737" s="64"/>
      <c r="R737" s="64"/>
      <c r="S737" s="64"/>
      <c r="T737" s="64"/>
      <c r="U737" s="64"/>
      <c r="V737" s="64"/>
      <c r="W737" s="64"/>
      <c r="X737" s="64"/>
      <c r="Y737" s="137"/>
      <c r="Z737" s="137"/>
      <c r="AA737" s="137"/>
      <c r="AB737" s="137"/>
      <c r="AC737" s="137"/>
    </row>
    <row r="738" spans="3:29" ht="15.75" customHeight="1">
      <c r="C738" s="63"/>
      <c r="D738" s="63"/>
      <c r="E738" s="63"/>
      <c r="F738" s="63"/>
      <c r="G738" s="63"/>
      <c r="H738" s="63"/>
      <c r="I738" s="63"/>
      <c r="J738" s="63"/>
      <c r="K738" s="63"/>
      <c r="L738" s="63"/>
      <c r="M738" s="168"/>
      <c r="N738" s="63"/>
      <c r="O738" s="64"/>
      <c r="P738" s="64"/>
      <c r="Q738" s="64"/>
      <c r="R738" s="64"/>
      <c r="S738" s="64"/>
      <c r="T738" s="64"/>
      <c r="U738" s="64"/>
      <c r="V738" s="64"/>
      <c r="W738" s="64"/>
      <c r="X738" s="64"/>
      <c r="Y738" s="137"/>
      <c r="Z738" s="137"/>
      <c r="AA738" s="137"/>
      <c r="AB738" s="137"/>
      <c r="AC738" s="137"/>
    </row>
    <row r="739" spans="3:29" ht="15.75" customHeight="1">
      <c r="C739" s="63"/>
      <c r="D739" s="63"/>
      <c r="E739" s="63"/>
      <c r="F739" s="63"/>
      <c r="G739" s="63"/>
      <c r="H739" s="63"/>
      <c r="I739" s="63"/>
      <c r="J739" s="63"/>
      <c r="K739" s="63"/>
      <c r="L739" s="63"/>
      <c r="M739" s="168"/>
      <c r="N739" s="63"/>
      <c r="O739" s="64"/>
      <c r="P739" s="64"/>
      <c r="Q739" s="64"/>
      <c r="R739" s="64"/>
      <c r="S739" s="64"/>
      <c r="T739" s="64"/>
      <c r="U739" s="64"/>
      <c r="V739" s="64"/>
      <c r="W739" s="64"/>
      <c r="X739" s="64"/>
      <c r="Y739" s="137"/>
      <c r="Z739" s="137"/>
      <c r="AA739" s="137"/>
      <c r="AB739" s="137"/>
      <c r="AC739" s="137"/>
    </row>
    <row r="740" spans="3:29" ht="15.75" customHeight="1">
      <c r="C740" s="63"/>
      <c r="D740" s="63"/>
      <c r="E740" s="63"/>
      <c r="F740" s="63"/>
      <c r="G740" s="63"/>
      <c r="H740" s="63"/>
      <c r="I740" s="63"/>
      <c r="J740" s="63"/>
      <c r="K740" s="63"/>
      <c r="L740" s="63"/>
      <c r="M740" s="168"/>
      <c r="N740" s="63"/>
      <c r="O740" s="64"/>
      <c r="P740" s="64"/>
      <c r="Q740" s="64"/>
      <c r="R740" s="64"/>
      <c r="S740" s="64"/>
      <c r="T740" s="64"/>
      <c r="U740" s="64"/>
      <c r="V740" s="64"/>
      <c r="W740" s="64"/>
      <c r="X740" s="64"/>
      <c r="Y740" s="137"/>
      <c r="Z740" s="137"/>
      <c r="AA740" s="137"/>
      <c r="AB740" s="137"/>
      <c r="AC740" s="137"/>
    </row>
    <row r="741" spans="3:29" ht="15.75" customHeight="1">
      <c r="C741" s="63"/>
      <c r="D741" s="63"/>
      <c r="E741" s="63"/>
      <c r="F741" s="63"/>
      <c r="G741" s="63"/>
      <c r="H741" s="63"/>
      <c r="I741" s="63"/>
      <c r="J741" s="63"/>
      <c r="K741" s="63"/>
      <c r="L741" s="63"/>
      <c r="M741" s="168"/>
      <c r="N741" s="63"/>
      <c r="O741" s="64"/>
      <c r="P741" s="64"/>
      <c r="Q741" s="64"/>
      <c r="R741" s="64"/>
      <c r="S741" s="64"/>
      <c r="T741" s="64"/>
      <c r="U741" s="64"/>
      <c r="V741" s="64"/>
      <c r="W741" s="64"/>
      <c r="X741" s="64"/>
      <c r="Y741" s="137"/>
      <c r="Z741" s="137"/>
      <c r="AA741" s="137"/>
      <c r="AB741" s="137"/>
      <c r="AC741" s="137"/>
    </row>
    <row r="742" spans="3:29" ht="15.75" customHeight="1">
      <c r="C742" s="63"/>
      <c r="D742" s="63"/>
      <c r="E742" s="63"/>
      <c r="F742" s="63"/>
      <c r="G742" s="63"/>
      <c r="H742" s="63"/>
      <c r="I742" s="63"/>
      <c r="J742" s="63"/>
      <c r="K742" s="63"/>
      <c r="L742" s="63"/>
      <c r="M742" s="168"/>
      <c r="N742" s="63"/>
      <c r="O742" s="64"/>
      <c r="P742" s="64"/>
      <c r="Q742" s="64"/>
      <c r="R742" s="64"/>
      <c r="S742" s="64"/>
      <c r="T742" s="64"/>
      <c r="U742" s="64"/>
      <c r="V742" s="64"/>
      <c r="W742" s="64"/>
      <c r="X742" s="64"/>
      <c r="Y742" s="137"/>
      <c r="Z742" s="137"/>
      <c r="AA742" s="137"/>
      <c r="AB742" s="137"/>
      <c r="AC742" s="137"/>
    </row>
    <row r="743" spans="3:29" ht="15.75" customHeight="1">
      <c r="C743" s="63"/>
      <c r="D743" s="63"/>
      <c r="E743" s="63"/>
      <c r="F743" s="63"/>
      <c r="G743" s="63"/>
      <c r="H743" s="63"/>
      <c r="I743" s="63"/>
      <c r="J743" s="63"/>
      <c r="K743" s="63"/>
      <c r="L743" s="63"/>
      <c r="M743" s="168"/>
      <c r="N743" s="63"/>
      <c r="O743" s="64"/>
      <c r="P743" s="64"/>
      <c r="Q743" s="64"/>
      <c r="R743" s="64"/>
      <c r="S743" s="64"/>
      <c r="T743" s="64"/>
      <c r="U743" s="64"/>
      <c r="V743" s="64"/>
      <c r="W743" s="64"/>
      <c r="X743" s="64"/>
      <c r="Y743" s="137"/>
      <c r="Z743" s="137"/>
      <c r="AA743" s="137"/>
      <c r="AB743" s="137"/>
      <c r="AC743" s="137"/>
    </row>
    <row r="744" spans="3:29" ht="15.75" customHeight="1">
      <c r="C744" s="63"/>
      <c r="D744" s="63"/>
      <c r="E744" s="63"/>
      <c r="F744" s="63"/>
      <c r="G744" s="63"/>
      <c r="H744" s="63"/>
      <c r="I744" s="63"/>
      <c r="J744" s="63"/>
      <c r="K744" s="63"/>
      <c r="L744" s="63"/>
      <c r="M744" s="168"/>
      <c r="N744" s="63"/>
      <c r="O744" s="64"/>
      <c r="P744" s="64"/>
      <c r="Q744" s="64"/>
      <c r="R744" s="64"/>
      <c r="S744" s="64"/>
      <c r="T744" s="64"/>
      <c r="U744" s="64"/>
      <c r="V744" s="64"/>
      <c r="W744" s="64"/>
      <c r="X744" s="64"/>
      <c r="Y744" s="137"/>
      <c r="Z744" s="137"/>
      <c r="AA744" s="137"/>
      <c r="AB744" s="137"/>
      <c r="AC744" s="137"/>
    </row>
    <row r="745" spans="3:29" ht="15.75" customHeight="1">
      <c r="C745" s="63"/>
      <c r="D745" s="63"/>
      <c r="E745" s="63"/>
      <c r="F745" s="63"/>
      <c r="G745" s="63"/>
      <c r="H745" s="63"/>
      <c r="I745" s="63"/>
      <c r="J745" s="63"/>
      <c r="K745" s="63"/>
      <c r="L745" s="63"/>
      <c r="M745" s="168"/>
      <c r="N745" s="63"/>
      <c r="O745" s="64"/>
      <c r="P745" s="64"/>
      <c r="Q745" s="64"/>
      <c r="R745" s="64"/>
      <c r="S745" s="64"/>
      <c r="T745" s="64"/>
      <c r="U745" s="64"/>
      <c r="V745" s="64"/>
      <c r="W745" s="64"/>
      <c r="X745" s="64"/>
      <c r="Y745" s="137"/>
      <c r="Z745" s="137"/>
      <c r="AA745" s="137"/>
      <c r="AB745" s="137"/>
      <c r="AC745" s="137"/>
    </row>
    <row r="746" spans="3:29" ht="15.75" customHeight="1">
      <c r="C746" s="63"/>
      <c r="D746" s="63"/>
      <c r="E746" s="63"/>
      <c r="F746" s="63"/>
      <c r="G746" s="63"/>
      <c r="H746" s="63"/>
      <c r="I746" s="63"/>
      <c r="J746" s="63"/>
      <c r="K746" s="63"/>
      <c r="L746" s="63"/>
      <c r="M746" s="168"/>
      <c r="N746" s="63"/>
      <c r="O746" s="64"/>
      <c r="P746" s="64"/>
      <c r="Q746" s="64"/>
      <c r="R746" s="64"/>
      <c r="S746" s="64"/>
      <c r="T746" s="64"/>
      <c r="U746" s="64"/>
      <c r="V746" s="64"/>
      <c r="W746" s="64"/>
      <c r="X746" s="64"/>
      <c r="Y746" s="137"/>
      <c r="Z746" s="137"/>
      <c r="AA746" s="137"/>
      <c r="AB746" s="137"/>
      <c r="AC746" s="137"/>
    </row>
    <row r="747" spans="3:29" ht="15.75" customHeight="1">
      <c r="C747" s="63"/>
      <c r="D747" s="63"/>
      <c r="E747" s="63"/>
      <c r="F747" s="63"/>
      <c r="G747" s="63"/>
      <c r="H747" s="63"/>
      <c r="I747" s="63"/>
      <c r="J747" s="63"/>
      <c r="K747" s="63"/>
      <c r="L747" s="63"/>
      <c r="M747" s="168"/>
      <c r="N747" s="63"/>
      <c r="O747" s="64"/>
      <c r="P747" s="64"/>
      <c r="Q747" s="64"/>
      <c r="R747" s="64"/>
      <c r="S747" s="64"/>
      <c r="T747" s="64"/>
      <c r="U747" s="64"/>
      <c r="V747" s="64"/>
      <c r="W747" s="64"/>
      <c r="X747" s="64"/>
      <c r="Y747" s="137"/>
      <c r="Z747" s="137"/>
      <c r="AA747" s="137"/>
      <c r="AB747" s="137"/>
      <c r="AC747" s="137"/>
    </row>
    <row r="748" spans="3:29" ht="15.75" customHeight="1">
      <c r="C748" s="63"/>
      <c r="D748" s="63"/>
      <c r="E748" s="63"/>
      <c r="F748" s="63"/>
      <c r="G748" s="63"/>
      <c r="H748" s="63"/>
      <c r="I748" s="63"/>
      <c r="J748" s="63"/>
      <c r="K748" s="63"/>
      <c r="L748" s="63"/>
      <c r="M748" s="168"/>
      <c r="N748" s="63"/>
      <c r="O748" s="64"/>
      <c r="P748" s="64"/>
      <c r="Q748" s="64"/>
      <c r="R748" s="64"/>
      <c r="S748" s="64"/>
      <c r="T748" s="64"/>
      <c r="U748" s="64"/>
      <c r="V748" s="64"/>
      <c r="W748" s="64"/>
      <c r="X748" s="64"/>
      <c r="Y748" s="137"/>
      <c r="Z748" s="137"/>
      <c r="AA748" s="137"/>
      <c r="AB748" s="137"/>
      <c r="AC748" s="137"/>
    </row>
    <row r="749" spans="3:29" ht="15.75" customHeight="1">
      <c r="C749" s="63"/>
      <c r="D749" s="63"/>
      <c r="E749" s="63"/>
      <c r="F749" s="63"/>
      <c r="G749" s="63"/>
      <c r="H749" s="63"/>
      <c r="I749" s="63"/>
      <c r="J749" s="63"/>
      <c r="K749" s="63"/>
      <c r="L749" s="63"/>
      <c r="M749" s="168"/>
      <c r="N749" s="63"/>
      <c r="O749" s="64"/>
      <c r="P749" s="64"/>
      <c r="Q749" s="64"/>
      <c r="R749" s="64"/>
      <c r="S749" s="64"/>
      <c r="T749" s="64"/>
      <c r="U749" s="64"/>
      <c r="V749" s="64"/>
      <c r="W749" s="64"/>
      <c r="X749" s="64"/>
      <c r="Y749" s="137"/>
      <c r="Z749" s="137"/>
      <c r="AA749" s="137"/>
      <c r="AB749" s="137"/>
      <c r="AC749" s="137"/>
    </row>
    <row r="750" spans="3:29" ht="15.75" customHeight="1">
      <c r="C750" s="63"/>
      <c r="D750" s="63"/>
      <c r="E750" s="63"/>
      <c r="F750" s="63"/>
      <c r="G750" s="63"/>
      <c r="H750" s="63"/>
      <c r="I750" s="63"/>
      <c r="J750" s="63"/>
      <c r="K750" s="63"/>
      <c r="L750" s="63"/>
      <c r="M750" s="168"/>
      <c r="N750" s="63"/>
      <c r="O750" s="64"/>
      <c r="P750" s="64"/>
      <c r="Q750" s="64"/>
      <c r="R750" s="64"/>
      <c r="S750" s="64"/>
      <c r="T750" s="64"/>
      <c r="U750" s="64"/>
      <c r="V750" s="64"/>
      <c r="W750" s="64"/>
      <c r="X750" s="64"/>
      <c r="Y750" s="137"/>
      <c r="Z750" s="137"/>
      <c r="AA750" s="137"/>
      <c r="AB750" s="137"/>
      <c r="AC750" s="137"/>
    </row>
    <row r="751" spans="3:29" ht="15.75" customHeight="1">
      <c r="C751" s="63"/>
      <c r="D751" s="63"/>
      <c r="E751" s="63"/>
      <c r="F751" s="63"/>
      <c r="G751" s="63"/>
      <c r="H751" s="63"/>
      <c r="I751" s="63"/>
      <c r="J751" s="63"/>
      <c r="K751" s="63"/>
      <c r="L751" s="63"/>
      <c r="M751" s="168"/>
      <c r="N751" s="63"/>
      <c r="O751" s="64"/>
      <c r="P751" s="64"/>
      <c r="Q751" s="64"/>
      <c r="R751" s="64"/>
      <c r="S751" s="64"/>
      <c r="T751" s="64"/>
      <c r="U751" s="64"/>
      <c r="V751" s="64"/>
      <c r="W751" s="64"/>
      <c r="X751" s="64"/>
      <c r="Y751" s="137"/>
      <c r="Z751" s="137"/>
      <c r="AA751" s="137"/>
      <c r="AB751" s="137"/>
      <c r="AC751" s="137"/>
    </row>
    <row r="752" spans="3:29" ht="15.75" customHeight="1">
      <c r="C752" s="63"/>
      <c r="D752" s="63"/>
      <c r="E752" s="63"/>
      <c r="F752" s="63"/>
      <c r="G752" s="63"/>
      <c r="H752" s="63"/>
      <c r="I752" s="63"/>
      <c r="J752" s="63"/>
      <c r="K752" s="63"/>
      <c r="L752" s="63"/>
      <c r="M752" s="168"/>
      <c r="N752" s="63"/>
      <c r="O752" s="64"/>
      <c r="P752" s="64"/>
      <c r="Q752" s="64"/>
      <c r="R752" s="64"/>
      <c r="S752" s="64"/>
      <c r="T752" s="64"/>
      <c r="U752" s="64"/>
      <c r="V752" s="64"/>
      <c r="W752" s="64"/>
      <c r="X752" s="64"/>
      <c r="Y752" s="137"/>
      <c r="Z752" s="137"/>
      <c r="AA752" s="137"/>
      <c r="AB752" s="137"/>
      <c r="AC752" s="137"/>
    </row>
    <row r="753" spans="3:29" ht="15.75" customHeight="1">
      <c r="C753" s="63"/>
      <c r="D753" s="63"/>
      <c r="E753" s="63"/>
      <c r="F753" s="63"/>
      <c r="G753" s="63"/>
      <c r="H753" s="63"/>
      <c r="I753" s="63"/>
      <c r="J753" s="63"/>
      <c r="K753" s="63"/>
      <c r="L753" s="63"/>
      <c r="M753" s="168"/>
      <c r="N753" s="63"/>
      <c r="O753" s="64"/>
      <c r="P753" s="64"/>
      <c r="Q753" s="64"/>
      <c r="R753" s="64"/>
      <c r="S753" s="64"/>
      <c r="T753" s="64"/>
      <c r="U753" s="64"/>
      <c r="V753" s="64"/>
      <c r="W753" s="64"/>
      <c r="X753" s="64"/>
      <c r="Y753" s="137"/>
      <c r="Z753" s="137"/>
      <c r="AA753" s="137"/>
      <c r="AB753" s="137"/>
      <c r="AC753" s="137"/>
    </row>
    <row r="754" spans="3:29" ht="15.75" customHeight="1">
      <c r="C754" s="63"/>
      <c r="D754" s="63"/>
      <c r="E754" s="63"/>
      <c r="F754" s="63"/>
      <c r="G754" s="63"/>
      <c r="H754" s="63"/>
      <c r="I754" s="63"/>
      <c r="J754" s="63"/>
      <c r="K754" s="63"/>
      <c r="L754" s="63"/>
      <c r="M754" s="168"/>
      <c r="N754" s="63"/>
      <c r="O754" s="64"/>
      <c r="P754" s="64"/>
      <c r="Q754" s="64"/>
      <c r="R754" s="64"/>
      <c r="S754" s="64"/>
      <c r="T754" s="64"/>
      <c r="U754" s="64"/>
      <c r="V754" s="64"/>
      <c r="W754" s="64"/>
      <c r="X754" s="64"/>
      <c r="Y754" s="137"/>
      <c r="Z754" s="137"/>
      <c r="AA754" s="137"/>
      <c r="AB754" s="137"/>
      <c r="AC754" s="137"/>
    </row>
    <row r="755" spans="3:29" ht="15.75" customHeight="1">
      <c r="C755" s="63"/>
      <c r="D755" s="63"/>
      <c r="E755" s="63"/>
      <c r="F755" s="63"/>
      <c r="G755" s="63"/>
      <c r="H755" s="63"/>
      <c r="I755" s="63"/>
      <c r="J755" s="63"/>
      <c r="K755" s="63"/>
      <c r="L755" s="63"/>
      <c r="M755" s="168"/>
      <c r="N755" s="63"/>
      <c r="O755" s="64"/>
      <c r="P755" s="64"/>
      <c r="Q755" s="64"/>
      <c r="R755" s="64"/>
      <c r="S755" s="64"/>
      <c r="T755" s="64"/>
      <c r="U755" s="64"/>
      <c r="V755" s="64"/>
      <c r="W755" s="64"/>
      <c r="X755" s="64"/>
      <c r="Y755" s="137"/>
      <c r="Z755" s="137"/>
      <c r="AA755" s="137"/>
      <c r="AB755" s="137"/>
      <c r="AC755" s="137"/>
    </row>
    <row r="756" spans="3:29" ht="15.75" customHeight="1">
      <c r="C756" s="63"/>
      <c r="D756" s="63"/>
      <c r="E756" s="63"/>
      <c r="F756" s="63"/>
      <c r="G756" s="63"/>
      <c r="H756" s="63"/>
      <c r="I756" s="63"/>
      <c r="J756" s="63"/>
      <c r="K756" s="63"/>
      <c r="L756" s="63"/>
      <c r="M756" s="168"/>
      <c r="N756" s="63"/>
      <c r="O756" s="64"/>
      <c r="P756" s="64"/>
      <c r="Q756" s="64"/>
      <c r="R756" s="64"/>
      <c r="S756" s="64"/>
      <c r="T756" s="64"/>
      <c r="U756" s="64"/>
      <c r="V756" s="64"/>
      <c r="W756" s="64"/>
      <c r="X756" s="64"/>
      <c r="Y756" s="137"/>
      <c r="Z756" s="137"/>
      <c r="AA756" s="137"/>
      <c r="AB756" s="137"/>
      <c r="AC756" s="137"/>
    </row>
    <row r="757" spans="3:29" ht="15.75" customHeight="1">
      <c r="C757" s="63"/>
      <c r="D757" s="63"/>
      <c r="E757" s="63"/>
      <c r="F757" s="63"/>
      <c r="G757" s="63"/>
      <c r="H757" s="63"/>
      <c r="I757" s="63"/>
      <c r="J757" s="63"/>
      <c r="K757" s="63"/>
      <c r="L757" s="63"/>
      <c r="M757" s="168"/>
      <c r="N757" s="63"/>
      <c r="O757" s="64"/>
      <c r="P757" s="64"/>
      <c r="Q757" s="64"/>
      <c r="R757" s="64"/>
      <c r="S757" s="64"/>
      <c r="T757" s="64"/>
      <c r="U757" s="64"/>
      <c r="V757" s="64"/>
      <c r="W757" s="64"/>
      <c r="X757" s="64"/>
      <c r="Y757" s="137"/>
      <c r="Z757" s="137"/>
      <c r="AA757" s="137"/>
      <c r="AB757" s="137"/>
      <c r="AC757" s="137"/>
    </row>
    <row r="758" spans="3:29" ht="15.75" customHeight="1">
      <c r="C758" s="63"/>
      <c r="D758" s="63"/>
      <c r="E758" s="63"/>
      <c r="F758" s="63"/>
      <c r="G758" s="63"/>
      <c r="H758" s="63"/>
      <c r="I758" s="63"/>
      <c r="J758" s="63"/>
      <c r="K758" s="63"/>
      <c r="L758" s="63"/>
      <c r="M758" s="168"/>
      <c r="N758" s="63"/>
      <c r="O758" s="64"/>
      <c r="P758" s="64"/>
      <c r="Q758" s="64"/>
      <c r="R758" s="64"/>
      <c r="S758" s="64"/>
      <c r="T758" s="64"/>
      <c r="U758" s="64"/>
      <c r="V758" s="64"/>
      <c r="W758" s="64"/>
      <c r="X758" s="64"/>
      <c r="Y758" s="137"/>
      <c r="Z758" s="137"/>
      <c r="AA758" s="137"/>
      <c r="AB758" s="137"/>
      <c r="AC758" s="137"/>
    </row>
    <row r="759" spans="3:29" ht="15.75" customHeight="1">
      <c r="C759" s="63"/>
      <c r="D759" s="63"/>
      <c r="E759" s="63"/>
      <c r="F759" s="63"/>
      <c r="G759" s="63"/>
      <c r="H759" s="63"/>
      <c r="I759" s="63"/>
      <c r="J759" s="63"/>
      <c r="K759" s="63"/>
      <c r="L759" s="63"/>
      <c r="M759" s="168"/>
      <c r="N759" s="63"/>
      <c r="O759" s="64"/>
      <c r="P759" s="64"/>
      <c r="Q759" s="64"/>
      <c r="R759" s="64"/>
      <c r="S759" s="64"/>
      <c r="T759" s="64"/>
      <c r="U759" s="64"/>
      <c r="V759" s="64"/>
      <c r="W759" s="64"/>
      <c r="X759" s="64"/>
      <c r="Y759" s="137"/>
      <c r="Z759" s="137"/>
      <c r="AA759" s="137"/>
      <c r="AB759" s="137"/>
      <c r="AC759" s="137"/>
    </row>
    <row r="760" spans="3:29" ht="15.75" customHeight="1">
      <c r="C760" s="63"/>
      <c r="D760" s="63"/>
      <c r="E760" s="63"/>
      <c r="F760" s="63"/>
      <c r="G760" s="63"/>
      <c r="H760" s="63"/>
      <c r="I760" s="63"/>
      <c r="J760" s="63"/>
      <c r="K760" s="63"/>
      <c r="L760" s="63"/>
      <c r="M760" s="168"/>
      <c r="N760" s="63"/>
      <c r="O760" s="64"/>
      <c r="P760" s="64"/>
      <c r="Q760" s="64"/>
      <c r="R760" s="64"/>
      <c r="S760" s="64"/>
      <c r="T760" s="64"/>
      <c r="U760" s="64"/>
      <c r="V760" s="64"/>
      <c r="W760" s="64"/>
      <c r="X760" s="64"/>
      <c r="Y760" s="137"/>
      <c r="Z760" s="137"/>
      <c r="AA760" s="137"/>
      <c r="AB760" s="137"/>
      <c r="AC760" s="137"/>
    </row>
    <row r="761" spans="3:29" ht="15.75" customHeight="1">
      <c r="C761" s="63"/>
      <c r="D761" s="63"/>
      <c r="E761" s="63"/>
      <c r="F761" s="63"/>
      <c r="G761" s="63"/>
      <c r="H761" s="63"/>
      <c r="I761" s="63"/>
      <c r="J761" s="63"/>
      <c r="K761" s="63"/>
      <c r="L761" s="63"/>
      <c r="M761" s="168"/>
      <c r="N761" s="63"/>
      <c r="O761" s="64"/>
      <c r="P761" s="64"/>
      <c r="Q761" s="64"/>
      <c r="R761" s="64"/>
      <c r="S761" s="64"/>
      <c r="T761" s="64"/>
      <c r="U761" s="64"/>
      <c r="V761" s="64"/>
      <c r="W761" s="64"/>
      <c r="X761" s="64"/>
      <c r="Y761" s="137"/>
      <c r="Z761" s="137"/>
      <c r="AA761" s="137"/>
      <c r="AB761" s="137"/>
      <c r="AC761" s="137"/>
    </row>
    <row r="762" spans="3:29" ht="15.75" customHeight="1">
      <c r="C762" s="63"/>
      <c r="D762" s="63"/>
      <c r="E762" s="63"/>
      <c r="F762" s="63"/>
      <c r="G762" s="63"/>
      <c r="H762" s="63"/>
      <c r="I762" s="63"/>
      <c r="J762" s="63"/>
      <c r="K762" s="63"/>
      <c r="L762" s="63"/>
      <c r="M762" s="168"/>
      <c r="N762" s="63"/>
      <c r="O762" s="64"/>
      <c r="P762" s="64"/>
      <c r="Q762" s="64"/>
      <c r="R762" s="64"/>
      <c r="S762" s="64"/>
      <c r="T762" s="64"/>
      <c r="U762" s="64"/>
      <c r="V762" s="64"/>
      <c r="W762" s="64"/>
      <c r="X762" s="64"/>
      <c r="Y762" s="137"/>
      <c r="Z762" s="137"/>
      <c r="AA762" s="137"/>
      <c r="AB762" s="137"/>
      <c r="AC762" s="137"/>
    </row>
    <row r="763" spans="3:29" ht="15.75" customHeight="1">
      <c r="C763" s="63"/>
      <c r="D763" s="63"/>
      <c r="E763" s="63"/>
      <c r="F763" s="63"/>
      <c r="G763" s="63"/>
      <c r="H763" s="63"/>
      <c r="I763" s="63"/>
      <c r="J763" s="63"/>
      <c r="K763" s="63"/>
      <c r="L763" s="63"/>
      <c r="M763" s="168"/>
      <c r="N763" s="63"/>
      <c r="O763" s="64"/>
      <c r="P763" s="64"/>
      <c r="Q763" s="64"/>
      <c r="R763" s="64"/>
      <c r="S763" s="64"/>
      <c r="T763" s="64"/>
      <c r="U763" s="64"/>
      <c r="V763" s="64"/>
      <c r="W763" s="64"/>
      <c r="X763" s="64"/>
      <c r="Y763" s="137"/>
      <c r="Z763" s="137"/>
      <c r="AA763" s="137"/>
      <c r="AB763" s="137"/>
      <c r="AC763" s="137"/>
    </row>
    <row r="764" spans="3:29" ht="15.75" customHeight="1">
      <c r="C764" s="63"/>
      <c r="D764" s="63"/>
      <c r="E764" s="63"/>
      <c r="F764" s="63"/>
      <c r="G764" s="63"/>
      <c r="H764" s="63"/>
      <c r="I764" s="63"/>
      <c r="J764" s="63"/>
      <c r="K764" s="63"/>
      <c r="L764" s="63"/>
      <c r="M764" s="168"/>
      <c r="N764" s="63"/>
      <c r="O764" s="64"/>
      <c r="P764" s="64"/>
      <c r="Q764" s="64"/>
      <c r="R764" s="64"/>
      <c r="S764" s="64"/>
      <c r="T764" s="64"/>
      <c r="U764" s="64"/>
      <c r="V764" s="64"/>
      <c r="W764" s="64"/>
      <c r="X764" s="64"/>
      <c r="Y764" s="137"/>
      <c r="Z764" s="137"/>
      <c r="AA764" s="137"/>
      <c r="AB764" s="137"/>
      <c r="AC764" s="137"/>
    </row>
    <row r="765" spans="3:29" ht="15.75" customHeight="1">
      <c r="C765" s="63"/>
      <c r="D765" s="63"/>
      <c r="E765" s="63"/>
      <c r="F765" s="63"/>
      <c r="G765" s="63"/>
      <c r="H765" s="63"/>
      <c r="I765" s="63"/>
      <c r="J765" s="63"/>
      <c r="K765" s="63"/>
      <c r="L765" s="63"/>
      <c r="M765" s="168"/>
      <c r="N765" s="63"/>
      <c r="O765" s="64"/>
      <c r="P765" s="64"/>
      <c r="Q765" s="64"/>
      <c r="R765" s="64"/>
      <c r="S765" s="64"/>
      <c r="T765" s="64"/>
      <c r="U765" s="64"/>
      <c r="V765" s="64"/>
      <c r="W765" s="64"/>
      <c r="X765" s="64"/>
      <c r="Y765" s="137"/>
      <c r="Z765" s="137"/>
      <c r="AA765" s="137"/>
      <c r="AB765" s="137"/>
      <c r="AC765" s="137"/>
    </row>
    <row r="766" spans="3:29" ht="15.75" customHeight="1">
      <c r="C766" s="63"/>
      <c r="D766" s="63"/>
      <c r="E766" s="63"/>
      <c r="F766" s="63"/>
      <c r="G766" s="63"/>
      <c r="H766" s="63"/>
      <c r="I766" s="63"/>
      <c r="J766" s="63"/>
      <c r="K766" s="63"/>
      <c r="L766" s="63"/>
      <c r="M766" s="168"/>
      <c r="N766" s="63"/>
      <c r="O766" s="64"/>
      <c r="P766" s="64"/>
      <c r="Q766" s="64"/>
      <c r="R766" s="64"/>
      <c r="S766" s="64"/>
      <c r="T766" s="64"/>
      <c r="U766" s="64"/>
      <c r="V766" s="64"/>
      <c r="W766" s="64"/>
      <c r="X766" s="64"/>
      <c r="Y766" s="137"/>
      <c r="Z766" s="137"/>
      <c r="AA766" s="137"/>
      <c r="AB766" s="137"/>
      <c r="AC766" s="137"/>
    </row>
    <row r="767" spans="3:29" ht="15.75" customHeight="1">
      <c r="C767" s="63"/>
      <c r="D767" s="63"/>
      <c r="E767" s="63"/>
      <c r="F767" s="63"/>
      <c r="G767" s="63"/>
      <c r="H767" s="63"/>
      <c r="I767" s="63"/>
      <c r="J767" s="63"/>
      <c r="K767" s="63"/>
      <c r="L767" s="63"/>
      <c r="M767" s="168"/>
      <c r="N767" s="63"/>
      <c r="O767" s="64"/>
      <c r="P767" s="64"/>
      <c r="Q767" s="64"/>
      <c r="R767" s="64"/>
      <c r="S767" s="64"/>
      <c r="T767" s="64"/>
      <c r="U767" s="64"/>
      <c r="V767" s="64"/>
      <c r="W767" s="64"/>
      <c r="X767" s="64"/>
      <c r="Y767" s="137"/>
      <c r="Z767" s="137"/>
      <c r="AA767" s="137"/>
      <c r="AB767" s="137"/>
      <c r="AC767" s="137"/>
    </row>
    <row r="768" spans="3:29" ht="15.75" customHeight="1">
      <c r="C768" s="63"/>
      <c r="D768" s="63"/>
      <c r="E768" s="63"/>
      <c r="F768" s="63"/>
      <c r="G768" s="63"/>
      <c r="H768" s="63"/>
      <c r="I768" s="63"/>
      <c r="J768" s="63"/>
      <c r="K768" s="63"/>
      <c r="L768" s="63"/>
      <c r="M768" s="168"/>
      <c r="N768" s="63"/>
      <c r="O768" s="64"/>
      <c r="P768" s="64"/>
      <c r="Q768" s="64"/>
      <c r="R768" s="64"/>
      <c r="S768" s="64"/>
      <c r="T768" s="64"/>
      <c r="U768" s="64"/>
      <c r="V768" s="64"/>
      <c r="W768" s="64"/>
      <c r="X768" s="64"/>
      <c r="Y768" s="137"/>
      <c r="Z768" s="137"/>
      <c r="AA768" s="137"/>
      <c r="AB768" s="137"/>
      <c r="AC768" s="137"/>
    </row>
    <row r="769" spans="3:29" ht="15.75" customHeight="1">
      <c r="C769" s="63"/>
      <c r="D769" s="63"/>
      <c r="E769" s="63"/>
      <c r="F769" s="63"/>
      <c r="G769" s="63"/>
      <c r="H769" s="63"/>
      <c r="I769" s="63"/>
      <c r="J769" s="63"/>
      <c r="K769" s="63"/>
      <c r="L769" s="63"/>
      <c r="M769" s="168"/>
      <c r="N769" s="63"/>
      <c r="O769" s="64"/>
      <c r="P769" s="64"/>
      <c r="Q769" s="64"/>
      <c r="R769" s="64"/>
      <c r="S769" s="64"/>
      <c r="T769" s="64"/>
      <c r="U769" s="64"/>
      <c r="V769" s="64"/>
      <c r="W769" s="64"/>
      <c r="X769" s="64"/>
      <c r="Y769" s="137"/>
      <c r="Z769" s="137"/>
      <c r="AA769" s="137"/>
      <c r="AB769" s="137"/>
      <c r="AC769" s="137"/>
    </row>
    <row r="770" spans="3:29" ht="15.75" customHeight="1">
      <c r="C770" s="63"/>
      <c r="D770" s="63"/>
      <c r="E770" s="63"/>
      <c r="F770" s="63"/>
      <c r="G770" s="63"/>
      <c r="H770" s="63"/>
      <c r="I770" s="63"/>
      <c r="J770" s="63"/>
      <c r="K770" s="63"/>
      <c r="L770" s="63"/>
      <c r="M770" s="168"/>
      <c r="N770" s="63"/>
      <c r="O770" s="64"/>
      <c r="P770" s="64"/>
      <c r="Q770" s="64"/>
      <c r="R770" s="64"/>
      <c r="S770" s="64"/>
      <c r="T770" s="64"/>
      <c r="U770" s="64"/>
      <c r="V770" s="64"/>
      <c r="W770" s="64"/>
      <c r="X770" s="64"/>
      <c r="Y770" s="137"/>
      <c r="Z770" s="137"/>
      <c r="AA770" s="137"/>
      <c r="AB770" s="137"/>
      <c r="AC770" s="137"/>
    </row>
    <row r="771" spans="3:29" ht="15.75" customHeight="1">
      <c r="C771" s="63"/>
      <c r="D771" s="63"/>
      <c r="E771" s="63"/>
      <c r="F771" s="63"/>
      <c r="G771" s="63"/>
      <c r="H771" s="63"/>
      <c r="I771" s="63"/>
      <c r="J771" s="63"/>
      <c r="K771" s="63"/>
      <c r="L771" s="63"/>
      <c r="M771" s="168"/>
      <c r="N771" s="63"/>
      <c r="O771" s="64"/>
      <c r="P771" s="64"/>
      <c r="Q771" s="64"/>
      <c r="R771" s="64"/>
      <c r="S771" s="64"/>
      <c r="T771" s="64"/>
      <c r="U771" s="64"/>
      <c r="V771" s="64"/>
      <c r="W771" s="64"/>
      <c r="X771" s="64"/>
      <c r="Y771" s="137"/>
      <c r="Z771" s="137"/>
      <c r="AA771" s="137"/>
      <c r="AB771" s="137"/>
      <c r="AC771" s="137"/>
    </row>
    <row r="772" spans="3:29" ht="15.75" customHeight="1">
      <c r="C772" s="63"/>
      <c r="D772" s="63"/>
      <c r="E772" s="63"/>
      <c r="F772" s="63"/>
      <c r="G772" s="63"/>
      <c r="H772" s="63"/>
      <c r="I772" s="63"/>
      <c r="J772" s="63"/>
      <c r="K772" s="63"/>
      <c r="L772" s="63"/>
      <c r="M772" s="168"/>
      <c r="N772" s="63"/>
      <c r="O772" s="64"/>
      <c r="P772" s="64"/>
      <c r="Q772" s="64"/>
      <c r="R772" s="64"/>
      <c r="S772" s="64"/>
      <c r="T772" s="64"/>
      <c r="U772" s="64"/>
      <c r="V772" s="64"/>
      <c r="W772" s="64"/>
      <c r="X772" s="64"/>
      <c r="Y772" s="137"/>
      <c r="Z772" s="137"/>
      <c r="AA772" s="137"/>
      <c r="AB772" s="137"/>
      <c r="AC772" s="137"/>
    </row>
    <row r="773" spans="3:29" ht="15.75" customHeight="1">
      <c r="C773" s="63"/>
      <c r="D773" s="63"/>
      <c r="E773" s="63"/>
      <c r="F773" s="63"/>
      <c r="G773" s="63"/>
      <c r="H773" s="63"/>
      <c r="I773" s="63"/>
      <c r="J773" s="63"/>
      <c r="K773" s="63"/>
      <c r="L773" s="63"/>
      <c r="M773" s="168"/>
      <c r="N773" s="63"/>
      <c r="O773" s="64"/>
      <c r="P773" s="64"/>
      <c r="Q773" s="64"/>
      <c r="R773" s="64"/>
      <c r="S773" s="64"/>
      <c r="T773" s="64"/>
      <c r="U773" s="64"/>
      <c r="V773" s="64"/>
      <c r="W773" s="64"/>
      <c r="X773" s="64"/>
      <c r="Y773" s="137"/>
      <c r="Z773" s="137"/>
      <c r="AA773" s="137"/>
      <c r="AB773" s="137"/>
      <c r="AC773" s="137"/>
    </row>
    <row r="774" spans="3:29" ht="15.75" customHeight="1">
      <c r="C774" s="63"/>
      <c r="D774" s="63"/>
      <c r="E774" s="63"/>
      <c r="F774" s="63"/>
      <c r="G774" s="63"/>
      <c r="H774" s="63"/>
      <c r="I774" s="63"/>
      <c r="J774" s="63"/>
      <c r="K774" s="63"/>
      <c r="L774" s="63"/>
      <c r="M774" s="168"/>
      <c r="N774" s="63"/>
      <c r="O774" s="64"/>
      <c r="P774" s="64"/>
      <c r="Q774" s="64"/>
      <c r="R774" s="64"/>
      <c r="S774" s="64"/>
      <c r="T774" s="64"/>
      <c r="U774" s="64"/>
      <c r="V774" s="64"/>
      <c r="W774" s="64"/>
      <c r="X774" s="64"/>
      <c r="Y774" s="137"/>
      <c r="Z774" s="137"/>
      <c r="AA774" s="137"/>
      <c r="AB774" s="137"/>
      <c r="AC774" s="137"/>
    </row>
    <row r="775" spans="3:29" ht="15.75" customHeight="1">
      <c r="C775" s="63"/>
      <c r="D775" s="63"/>
      <c r="E775" s="63"/>
      <c r="F775" s="63"/>
      <c r="G775" s="63"/>
      <c r="H775" s="63"/>
      <c r="I775" s="63"/>
      <c r="J775" s="63"/>
      <c r="K775" s="63"/>
      <c r="L775" s="63"/>
      <c r="M775" s="168"/>
      <c r="N775" s="63"/>
      <c r="O775" s="64"/>
      <c r="P775" s="64"/>
      <c r="Q775" s="64"/>
      <c r="R775" s="64"/>
      <c r="S775" s="64"/>
      <c r="T775" s="64"/>
      <c r="U775" s="64"/>
      <c r="V775" s="64"/>
      <c r="W775" s="64"/>
      <c r="X775" s="64"/>
      <c r="Y775" s="137"/>
      <c r="Z775" s="137"/>
      <c r="AA775" s="137"/>
      <c r="AB775" s="137"/>
      <c r="AC775" s="137"/>
    </row>
    <row r="776" spans="3:29" ht="15.75" customHeight="1">
      <c r="C776" s="63"/>
      <c r="D776" s="63"/>
      <c r="E776" s="63"/>
      <c r="F776" s="63"/>
      <c r="G776" s="63"/>
      <c r="H776" s="63"/>
      <c r="I776" s="63"/>
      <c r="J776" s="63"/>
      <c r="K776" s="63"/>
      <c r="L776" s="63"/>
      <c r="M776" s="168"/>
      <c r="N776" s="63"/>
      <c r="O776" s="64"/>
      <c r="P776" s="64"/>
      <c r="Q776" s="64"/>
      <c r="R776" s="64"/>
      <c r="S776" s="64"/>
      <c r="T776" s="64"/>
      <c r="U776" s="64"/>
      <c r="V776" s="64"/>
      <c r="W776" s="64"/>
      <c r="X776" s="64"/>
      <c r="Y776" s="137"/>
      <c r="Z776" s="137"/>
      <c r="AA776" s="137"/>
      <c r="AB776" s="137"/>
      <c r="AC776" s="137"/>
    </row>
    <row r="777" spans="3:29" ht="15.75" customHeight="1">
      <c r="C777" s="63"/>
      <c r="D777" s="63"/>
      <c r="E777" s="63"/>
      <c r="F777" s="63"/>
      <c r="G777" s="63"/>
      <c r="H777" s="63"/>
      <c r="I777" s="63"/>
      <c r="J777" s="63"/>
      <c r="K777" s="63"/>
      <c r="L777" s="63"/>
      <c r="M777" s="168"/>
      <c r="N777" s="63"/>
      <c r="O777" s="64"/>
      <c r="P777" s="64"/>
      <c r="Q777" s="64"/>
      <c r="R777" s="64"/>
      <c r="S777" s="64"/>
      <c r="T777" s="64"/>
      <c r="U777" s="64"/>
      <c r="V777" s="64"/>
      <c r="W777" s="64"/>
      <c r="X777" s="64"/>
      <c r="Y777" s="137"/>
      <c r="Z777" s="137"/>
      <c r="AA777" s="137"/>
      <c r="AB777" s="137"/>
      <c r="AC777" s="137"/>
    </row>
    <row r="778" spans="3:29" ht="15.75" customHeight="1">
      <c r="C778" s="63"/>
      <c r="D778" s="63"/>
      <c r="E778" s="63"/>
      <c r="F778" s="63"/>
      <c r="G778" s="63"/>
      <c r="H778" s="63"/>
      <c r="I778" s="63"/>
      <c r="J778" s="63"/>
      <c r="K778" s="63"/>
      <c r="L778" s="63"/>
      <c r="M778" s="168"/>
      <c r="N778" s="63"/>
      <c r="O778" s="64"/>
      <c r="P778" s="64"/>
      <c r="Q778" s="64"/>
      <c r="R778" s="64"/>
      <c r="S778" s="64"/>
      <c r="T778" s="64"/>
      <c r="U778" s="64"/>
      <c r="V778" s="64"/>
      <c r="W778" s="64"/>
      <c r="X778" s="64"/>
      <c r="Y778" s="137"/>
      <c r="Z778" s="137"/>
      <c r="AA778" s="137"/>
      <c r="AB778" s="137"/>
      <c r="AC778" s="137"/>
    </row>
    <row r="779" spans="3:29" ht="15.75" customHeight="1">
      <c r="C779" s="63"/>
      <c r="D779" s="63"/>
      <c r="E779" s="63"/>
      <c r="F779" s="63"/>
      <c r="G779" s="63"/>
      <c r="H779" s="63"/>
      <c r="I779" s="63"/>
      <c r="J779" s="63"/>
      <c r="K779" s="63"/>
      <c r="L779" s="63"/>
      <c r="M779" s="168"/>
      <c r="N779" s="63"/>
      <c r="O779" s="64"/>
      <c r="P779" s="64"/>
      <c r="Q779" s="64"/>
      <c r="R779" s="64"/>
      <c r="S779" s="64"/>
      <c r="T779" s="64"/>
      <c r="U779" s="64"/>
      <c r="V779" s="64"/>
      <c r="W779" s="64"/>
      <c r="X779" s="64"/>
      <c r="Y779" s="137"/>
      <c r="Z779" s="137"/>
      <c r="AA779" s="137"/>
      <c r="AB779" s="137"/>
      <c r="AC779" s="137"/>
    </row>
    <row r="780" spans="3:29" ht="15.75" customHeight="1">
      <c r="C780" s="63"/>
      <c r="D780" s="63"/>
      <c r="E780" s="63"/>
      <c r="F780" s="63"/>
      <c r="G780" s="63"/>
      <c r="H780" s="63"/>
      <c r="I780" s="63"/>
      <c r="J780" s="63"/>
      <c r="K780" s="63"/>
      <c r="L780" s="63"/>
      <c r="M780" s="168"/>
      <c r="N780" s="63"/>
      <c r="O780" s="64"/>
      <c r="P780" s="64"/>
      <c r="Q780" s="64"/>
      <c r="R780" s="64"/>
      <c r="S780" s="64"/>
      <c r="T780" s="64"/>
      <c r="U780" s="64"/>
      <c r="V780" s="64"/>
      <c r="W780" s="64"/>
      <c r="X780" s="64"/>
      <c r="Y780" s="137"/>
      <c r="Z780" s="137"/>
      <c r="AA780" s="137"/>
      <c r="AB780" s="137"/>
      <c r="AC780" s="137"/>
    </row>
    <row r="781" spans="3:29" ht="15.75" customHeight="1">
      <c r="C781" s="63"/>
      <c r="D781" s="63"/>
      <c r="E781" s="63"/>
      <c r="F781" s="63"/>
      <c r="G781" s="63"/>
      <c r="H781" s="63"/>
      <c r="I781" s="63"/>
      <c r="J781" s="63"/>
      <c r="K781" s="63"/>
      <c r="L781" s="63"/>
      <c r="M781" s="168"/>
      <c r="N781" s="63"/>
      <c r="O781" s="64"/>
      <c r="P781" s="64"/>
      <c r="Q781" s="64"/>
      <c r="R781" s="64"/>
      <c r="S781" s="64"/>
      <c r="T781" s="64"/>
      <c r="U781" s="64"/>
      <c r="V781" s="64"/>
      <c r="W781" s="64"/>
      <c r="X781" s="64"/>
      <c r="Y781" s="137"/>
      <c r="Z781" s="137"/>
      <c r="AA781" s="137"/>
      <c r="AB781" s="137"/>
      <c r="AC781" s="137"/>
    </row>
    <row r="782" spans="3:29" ht="15.75" customHeight="1">
      <c r="C782" s="63"/>
      <c r="D782" s="63"/>
      <c r="E782" s="63"/>
      <c r="F782" s="63"/>
      <c r="G782" s="63"/>
      <c r="H782" s="63"/>
      <c r="I782" s="63"/>
      <c r="J782" s="63"/>
      <c r="K782" s="63"/>
      <c r="L782" s="63"/>
      <c r="M782" s="168"/>
      <c r="N782" s="63"/>
      <c r="O782" s="64"/>
      <c r="P782" s="64"/>
      <c r="Q782" s="64"/>
      <c r="R782" s="64"/>
      <c r="S782" s="64"/>
      <c r="T782" s="64"/>
      <c r="U782" s="64"/>
      <c r="V782" s="64"/>
      <c r="W782" s="64"/>
      <c r="X782" s="64"/>
      <c r="Y782" s="137"/>
      <c r="Z782" s="137"/>
      <c r="AA782" s="137"/>
      <c r="AB782" s="137"/>
      <c r="AC782" s="137"/>
    </row>
    <row r="783" spans="3:29" ht="15.75" customHeight="1">
      <c r="C783" s="63"/>
      <c r="D783" s="63"/>
      <c r="E783" s="63"/>
      <c r="F783" s="63"/>
      <c r="G783" s="63"/>
      <c r="H783" s="63"/>
      <c r="I783" s="63"/>
      <c r="J783" s="63"/>
      <c r="K783" s="63"/>
      <c r="L783" s="63"/>
      <c r="M783" s="168"/>
      <c r="N783" s="63"/>
      <c r="O783" s="64"/>
      <c r="P783" s="64"/>
      <c r="Q783" s="64"/>
      <c r="R783" s="64"/>
      <c r="S783" s="64"/>
      <c r="T783" s="64"/>
      <c r="U783" s="64"/>
      <c r="V783" s="64"/>
      <c r="W783" s="64"/>
      <c r="X783" s="64"/>
      <c r="Y783" s="137"/>
      <c r="Z783" s="137"/>
      <c r="AA783" s="137"/>
      <c r="AB783" s="137"/>
      <c r="AC783" s="137"/>
    </row>
    <row r="784" spans="3:29" ht="15.75" customHeight="1">
      <c r="C784" s="63"/>
      <c r="D784" s="63"/>
      <c r="E784" s="63"/>
      <c r="F784" s="63"/>
      <c r="G784" s="63"/>
      <c r="H784" s="63"/>
      <c r="I784" s="63"/>
      <c r="J784" s="63"/>
      <c r="K784" s="63"/>
      <c r="L784" s="63"/>
      <c r="M784" s="168"/>
      <c r="N784" s="63"/>
      <c r="O784" s="64"/>
      <c r="P784" s="64"/>
      <c r="Q784" s="64"/>
      <c r="R784" s="64"/>
      <c r="S784" s="64"/>
      <c r="T784" s="64"/>
      <c r="U784" s="64"/>
      <c r="V784" s="64"/>
      <c r="W784" s="64"/>
      <c r="X784" s="64"/>
      <c r="Y784" s="137"/>
      <c r="Z784" s="137"/>
      <c r="AA784" s="137"/>
      <c r="AB784" s="137"/>
      <c r="AC784" s="137"/>
    </row>
    <row r="785" spans="3:29" ht="15.75" customHeight="1">
      <c r="C785" s="63"/>
      <c r="D785" s="63"/>
      <c r="E785" s="63"/>
      <c r="F785" s="63"/>
      <c r="G785" s="63"/>
      <c r="H785" s="63"/>
      <c r="I785" s="63"/>
      <c r="J785" s="63"/>
      <c r="K785" s="63"/>
      <c r="L785" s="63"/>
      <c r="M785" s="168"/>
      <c r="N785" s="63"/>
      <c r="O785" s="64"/>
      <c r="P785" s="64"/>
      <c r="Q785" s="64"/>
      <c r="R785" s="64"/>
      <c r="S785" s="64"/>
      <c r="T785" s="64"/>
      <c r="U785" s="64"/>
      <c r="V785" s="64"/>
      <c r="W785" s="64"/>
      <c r="X785" s="64"/>
      <c r="Y785" s="137"/>
      <c r="Z785" s="137"/>
      <c r="AA785" s="137"/>
      <c r="AB785" s="137"/>
      <c r="AC785" s="137"/>
    </row>
    <row r="786" spans="3:29" ht="15.75" customHeight="1">
      <c r="C786" s="63"/>
      <c r="D786" s="63"/>
      <c r="E786" s="63"/>
      <c r="F786" s="63"/>
      <c r="G786" s="63"/>
      <c r="H786" s="63"/>
      <c r="I786" s="63"/>
      <c r="J786" s="63"/>
      <c r="K786" s="63"/>
      <c r="L786" s="63"/>
      <c r="M786" s="168"/>
      <c r="N786" s="63"/>
      <c r="O786" s="64"/>
      <c r="P786" s="64"/>
      <c r="Q786" s="64"/>
      <c r="R786" s="64"/>
      <c r="S786" s="64"/>
      <c r="T786" s="64"/>
      <c r="U786" s="64"/>
      <c r="V786" s="64"/>
      <c r="W786" s="64"/>
      <c r="X786" s="64"/>
      <c r="Y786" s="137"/>
      <c r="Z786" s="137"/>
      <c r="AA786" s="137"/>
      <c r="AB786" s="137"/>
      <c r="AC786" s="137"/>
    </row>
    <row r="787" spans="3:29" ht="15.75" customHeight="1">
      <c r="C787" s="63"/>
      <c r="D787" s="63"/>
      <c r="E787" s="63"/>
      <c r="F787" s="63"/>
      <c r="G787" s="63"/>
      <c r="H787" s="63"/>
      <c r="I787" s="63"/>
      <c r="J787" s="63"/>
      <c r="K787" s="63"/>
      <c r="L787" s="63"/>
      <c r="M787" s="168"/>
      <c r="N787" s="63"/>
      <c r="O787" s="64"/>
      <c r="P787" s="64"/>
      <c r="Q787" s="64"/>
      <c r="R787" s="64"/>
      <c r="S787" s="64"/>
      <c r="T787" s="64"/>
      <c r="U787" s="64"/>
      <c r="V787" s="64"/>
      <c r="W787" s="64"/>
      <c r="X787" s="64"/>
      <c r="Y787" s="137"/>
      <c r="Z787" s="137"/>
      <c r="AA787" s="137"/>
      <c r="AB787" s="137"/>
      <c r="AC787" s="137"/>
    </row>
    <row r="788" spans="3:29" ht="15.75" customHeight="1">
      <c r="C788" s="63"/>
      <c r="D788" s="63"/>
      <c r="E788" s="63"/>
      <c r="F788" s="63"/>
      <c r="G788" s="63"/>
      <c r="H788" s="63"/>
      <c r="I788" s="63"/>
      <c r="J788" s="63"/>
      <c r="K788" s="63"/>
      <c r="L788" s="63"/>
      <c r="M788" s="168"/>
      <c r="N788" s="63"/>
      <c r="O788" s="64"/>
      <c r="P788" s="64"/>
      <c r="Q788" s="64"/>
      <c r="R788" s="64"/>
      <c r="S788" s="64"/>
      <c r="T788" s="64"/>
      <c r="U788" s="64"/>
      <c r="V788" s="64"/>
      <c r="W788" s="64"/>
      <c r="X788" s="64"/>
      <c r="Y788" s="137"/>
      <c r="Z788" s="137"/>
      <c r="AA788" s="137"/>
      <c r="AB788" s="137"/>
      <c r="AC788" s="137"/>
    </row>
    <row r="789" spans="3:29" ht="15.75" customHeight="1">
      <c r="C789" s="63"/>
      <c r="D789" s="63"/>
      <c r="E789" s="63"/>
      <c r="F789" s="63"/>
      <c r="G789" s="63"/>
      <c r="H789" s="63"/>
      <c r="I789" s="63"/>
      <c r="J789" s="63"/>
      <c r="K789" s="63"/>
      <c r="L789" s="63"/>
      <c r="M789" s="168"/>
      <c r="N789" s="63"/>
      <c r="O789" s="64"/>
      <c r="P789" s="64"/>
      <c r="Q789" s="64"/>
      <c r="R789" s="64"/>
      <c r="S789" s="64"/>
      <c r="T789" s="64"/>
      <c r="U789" s="64"/>
      <c r="V789" s="64"/>
      <c r="W789" s="64"/>
      <c r="X789" s="64"/>
      <c r="Y789" s="137"/>
      <c r="Z789" s="137"/>
      <c r="AA789" s="137"/>
      <c r="AB789" s="137"/>
      <c r="AC789" s="137"/>
    </row>
    <row r="790" spans="3:29" ht="15.75" customHeight="1">
      <c r="C790" s="63"/>
      <c r="D790" s="63"/>
      <c r="E790" s="63"/>
      <c r="F790" s="63"/>
      <c r="G790" s="63"/>
      <c r="H790" s="63"/>
      <c r="I790" s="63"/>
      <c r="J790" s="63"/>
      <c r="K790" s="63"/>
      <c r="L790" s="63"/>
      <c r="M790" s="168"/>
      <c r="N790" s="63"/>
      <c r="O790" s="64"/>
      <c r="P790" s="64"/>
      <c r="Q790" s="64"/>
      <c r="R790" s="64"/>
      <c r="S790" s="64"/>
      <c r="T790" s="64"/>
      <c r="U790" s="64"/>
      <c r="V790" s="64"/>
      <c r="W790" s="64"/>
      <c r="X790" s="64"/>
      <c r="Y790" s="137"/>
      <c r="Z790" s="137"/>
      <c r="AA790" s="137"/>
      <c r="AB790" s="137"/>
      <c r="AC790" s="137"/>
    </row>
    <row r="791" spans="3:29" ht="15.75" customHeight="1">
      <c r="C791" s="63"/>
      <c r="D791" s="63"/>
      <c r="E791" s="63"/>
      <c r="F791" s="63"/>
      <c r="G791" s="63"/>
      <c r="H791" s="63"/>
      <c r="I791" s="63"/>
      <c r="J791" s="63"/>
      <c r="K791" s="63"/>
      <c r="L791" s="63"/>
      <c r="M791" s="168"/>
      <c r="N791" s="63"/>
      <c r="O791" s="64"/>
      <c r="P791" s="64"/>
      <c r="Q791" s="64"/>
      <c r="R791" s="64"/>
      <c r="S791" s="64"/>
      <c r="T791" s="64"/>
      <c r="U791" s="64"/>
      <c r="V791" s="64"/>
      <c r="W791" s="64"/>
      <c r="X791" s="64"/>
      <c r="Y791" s="137"/>
      <c r="Z791" s="137"/>
      <c r="AA791" s="137"/>
      <c r="AB791" s="137"/>
      <c r="AC791" s="137"/>
    </row>
    <row r="792" spans="3:29" ht="15.75" customHeight="1">
      <c r="C792" s="63"/>
      <c r="D792" s="63"/>
      <c r="E792" s="63"/>
      <c r="F792" s="63"/>
      <c r="G792" s="63"/>
      <c r="H792" s="63"/>
      <c r="I792" s="63"/>
      <c r="J792" s="63"/>
      <c r="K792" s="63"/>
      <c r="L792" s="63"/>
      <c r="M792" s="168"/>
      <c r="N792" s="63"/>
      <c r="O792" s="64"/>
      <c r="P792" s="64"/>
      <c r="Q792" s="64"/>
      <c r="R792" s="64"/>
      <c r="S792" s="64"/>
      <c r="T792" s="64"/>
      <c r="U792" s="64"/>
      <c r="V792" s="64"/>
      <c r="W792" s="64"/>
      <c r="X792" s="64"/>
      <c r="Y792" s="137"/>
      <c r="Z792" s="137"/>
      <c r="AA792" s="137"/>
      <c r="AB792" s="137"/>
      <c r="AC792" s="137"/>
    </row>
    <row r="793" spans="3:29" ht="15.75" customHeight="1">
      <c r="C793" s="63"/>
      <c r="D793" s="63"/>
      <c r="E793" s="63"/>
      <c r="F793" s="63"/>
      <c r="G793" s="63"/>
      <c r="H793" s="63"/>
      <c r="I793" s="63"/>
      <c r="J793" s="63"/>
      <c r="K793" s="63"/>
      <c r="L793" s="63"/>
      <c r="M793" s="168"/>
      <c r="N793" s="63"/>
      <c r="O793" s="64"/>
      <c r="P793" s="64"/>
      <c r="Q793" s="64"/>
      <c r="R793" s="64"/>
      <c r="S793" s="64"/>
      <c r="T793" s="64"/>
      <c r="U793" s="64"/>
      <c r="V793" s="64"/>
      <c r="W793" s="64"/>
      <c r="X793" s="64"/>
      <c r="Y793" s="137"/>
      <c r="Z793" s="137"/>
      <c r="AA793" s="137"/>
      <c r="AB793" s="137"/>
      <c r="AC793" s="137"/>
    </row>
    <row r="794" spans="3:29" ht="15.75" customHeight="1">
      <c r="C794" s="63"/>
      <c r="D794" s="63"/>
      <c r="E794" s="63"/>
      <c r="F794" s="63"/>
      <c r="G794" s="63"/>
      <c r="H794" s="63"/>
      <c r="I794" s="63"/>
      <c r="J794" s="63"/>
      <c r="K794" s="63"/>
      <c r="L794" s="63"/>
      <c r="M794" s="168"/>
      <c r="N794" s="63"/>
      <c r="O794" s="64"/>
      <c r="P794" s="64"/>
      <c r="Q794" s="64"/>
      <c r="R794" s="64"/>
      <c r="S794" s="64"/>
      <c r="T794" s="64"/>
      <c r="U794" s="64"/>
      <c r="V794" s="64"/>
      <c r="W794" s="64"/>
      <c r="X794" s="64"/>
      <c r="Y794" s="137"/>
      <c r="Z794" s="137"/>
      <c r="AA794" s="137"/>
      <c r="AB794" s="137"/>
      <c r="AC794" s="137"/>
    </row>
    <row r="795" spans="3:29" ht="15.75" customHeight="1">
      <c r="C795" s="63"/>
      <c r="D795" s="63"/>
      <c r="E795" s="63"/>
      <c r="F795" s="63"/>
      <c r="G795" s="63"/>
      <c r="H795" s="63"/>
      <c r="I795" s="63"/>
      <c r="J795" s="63"/>
      <c r="K795" s="63"/>
      <c r="L795" s="63"/>
      <c r="M795" s="168"/>
      <c r="N795" s="63"/>
      <c r="O795" s="64"/>
      <c r="P795" s="64"/>
      <c r="Q795" s="64"/>
      <c r="R795" s="64"/>
      <c r="S795" s="64"/>
      <c r="T795" s="64"/>
      <c r="U795" s="64"/>
      <c r="V795" s="64"/>
      <c r="W795" s="64"/>
      <c r="X795" s="64"/>
      <c r="Y795" s="137"/>
      <c r="Z795" s="137"/>
      <c r="AA795" s="137"/>
      <c r="AB795" s="137"/>
      <c r="AC795" s="137"/>
    </row>
    <row r="796" spans="3:29" ht="15.75" customHeight="1">
      <c r="C796" s="63"/>
      <c r="D796" s="63"/>
      <c r="E796" s="63"/>
      <c r="F796" s="63"/>
      <c r="G796" s="63"/>
      <c r="H796" s="63"/>
      <c r="I796" s="63"/>
      <c r="J796" s="63"/>
      <c r="K796" s="63"/>
      <c r="L796" s="63"/>
      <c r="M796" s="168"/>
      <c r="N796" s="63"/>
      <c r="O796" s="64"/>
      <c r="P796" s="64"/>
      <c r="Q796" s="64"/>
      <c r="R796" s="64"/>
      <c r="S796" s="64"/>
      <c r="T796" s="64"/>
      <c r="U796" s="64"/>
      <c r="V796" s="64"/>
      <c r="W796" s="64"/>
      <c r="X796" s="64"/>
      <c r="Y796" s="137"/>
      <c r="Z796" s="137"/>
      <c r="AA796" s="137"/>
      <c r="AB796" s="137"/>
      <c r="AC796" s="137"/>
    </row>
    <row r="797" spans="3:29" ht="15.75" customHeight="1">
      <c r="C797" s="63"/>
      <c r="D797" s="63"/>
      <c r="E797" s="63"/>
      <c r="F797" s="63"/>
      <c r="G797" s="63"/>
      <c r="H797" s="63"/>
      <c r="I797" s="63"/>
      <c r="J797" s="63"/>
      <c r="K797" s="63"/>
      <c r="L797" s="63"/>
      <c r="M797" s="168"/>
      <c r="N797" s="63"/>
      <c r="O797" s="64"/>
      <c r="P797" s="64"/>
      <c r="Q797" s="64"/>
      <c r="R797" s="64"/>
      <c r="S797" s="64"/>
      <c r="T797" s="64"/>
      <c r="U797" s="64"/>
      <c r="V797" s="64"/>
      <c r="W797" s="64"/>
      <c r="X797" s="64"/>
      <c r="Y797" s="137"/>
      <c r="Z797" s="137"/>
      <c r="AA797" s="137"/>
      <c r="AB797" s="137"/>
      <c r="AC797" s="137"/>
    </row>
    <row r="798" spans="3:29" ht="15.75" customHeight="1">
      <c r="C798" s="63"/>
      <c r="D798" s="63"/>
      <c r="E798" s="63"/>
      <c r="F798" s="63"/>
      <c r="G798" s="63"/>
      <c r="H798" s="63"/>
      <c r="I798" s="63"/>
      <c r="J798" s="63"/>
      <c r="K798" s="63"/>
      <c r="L798" s="63"/>
      <c r="M798" s="168"/>
      <c r="N798" s="63"/>
      <c r="O798" s="64"/>
      <c r="P798" s="64"/>
      <c r="Q798" s="64"/>
      <c r="R798" s="64"/>
      <c r="S798" s="64"/>
      <c r="T798" s="64"/>
      <c r="U798" s="64"/>
      <c r="V798" s="64"/>
      <c r="W798" s="64"/>
      <c r="X798" s="64"/>
      <c r="Y798" s="137"/>
      <c r="Z798" s="137"/>
      <c r="AA798" s="137"/>
      <c r="AB798" s="137"/>
      <c r="AC798" s="137"/>
    </row>
    <row r="799" spans="3:29" ht="15.75" customHeight="1">
      <c r="C799" s="63"/>
      <c r="D799" s="63"/>
      <c r="E799" s="63"/>
      <c r="F799" s="63"/>
      <c r="G799" s="63"/>
      <c r="H799" s="63"/>
      <c r="I799" s="63"/>
      <c r="J799" s="63"/>
      <c r="K799" s="63"/>
      <c r="L799" s="63"/>
      <c r="M799" s="168"/>
      <c r="N799" s="63"/>
      <c r="O799" s="64"/>
      <c r="P799" s="64"/>
      <c r="Q799" s="64"/>
      <c r="R799" s="64"/>
      <c r="S799" s="64"/>
      <c r="T799" s="64"/>
      <c r="U799" s="64"/>
      <c r="V799" s="64"/>
      <c r="W799" s="64"/>
      <c r="X799" s="64"/>
      <c r="Y799" s="137"/>
      <c r="Z799" s="137"/>
      <c r="AA799" s="137"/>
      <c r="AB799" s="137"/>
      <c r="AC799" s="137"/>
    </row>
    <row r="800" spans="3:29" ht="15.75" customHeight="1">
      <c r="C800" s="63"/>
      <c r="D800" s="63"/>
      <c r="E800" s="63"/>
      <c r="F800" s="63"/>
      <c r="G800" s="63"/>
      <c r="H800" s="63"/>
      <c r="I800" s="63"/>
      <c r="J800" s="63"/>
      <c r="K800" s="63"/>
      <c r="L800" s="63"/>
      <c r="M800" s="168"/>
      <c r="N800" s="63"/>
      <c r="O800" s="64"/>
      <c r="P800" s="64"/>
      <c r="Q800" s="64"/>
      <c r="R800" s="64"/>
      <c r="S800" s="64"/>
      <c r="T800" s="64"/>
      <c r="U800" s="64"/>
      <c r="V800" s="64"/>
      <c r="W800" s="64"/>
      <c r="X800" s="64"/>
      <c r="Y800" s="137"/>
      <c r="Z800" s="137"/>
      <c r="AA800" s="137"/>
      <c r="AB800" s="137"/>
      <c r="AC800" s="137"/>
    </row>
    <row r="801" spans="3:29" ht="15.75" customHeight="1">
      <c r="C801" s="63"/>
      <c r="D801" s="63"/>
      <c r="E801" s="63"/>
      <c r="F801" s="63"/>
      <c r="G801" s="63"/>
      <c r="H801" s="63"/>
      <c r="I801" s="63"/>
      <c r="J801" s="63"/>
      <c r="K801" s="63"/>
      <c r="L801" s="63"/>
      <c r="M801" s="168"/>
      <c r="N801" s="63"/>
      <c r="O801" s="64"/>
      <c r="P801" s="64"/>
      <c r="Q801" s="64"/>
      <c r="R801" s="64"/>
      <c r="S801" s="64"/>
      <c r="T801" s="64"/>
      <c r="U801" s="64"/>
      <c r="V801" s="64"/>
      <c r="W801" s="64"/>
      <c r="X801" s="64"/>
      <c r="Y801" s="137"/>
      <c r="Z801" s="137"/>
      <c r="AA801" s="137"/>
      <c r="AB801" s="137"/>
      <c r="AC801" s="137"/>
    </row>
    <row r="802" spans="3:29" ht="15.75" customHeight="1">
      <c r="C802" s="63"/>
      <c r="D802" s="63"/>
      <c r="E802" s="63"/>
      <c r="F802" s="63"/>
      <c r="G802" s="63"/>
      <c r="H802" s="63"/>
      <c r="I802" s="63"/>
      <c r="J802" s="63"/>
      <c r="K802" s="63"/>
      <c r="L802" s="63"/>
      <c r="M802" s="168"/>
      <c r="N802" s="63"/>
      <c r="O802" s="64"/>
      <c r="P802" s="64"/>
      <c r="Q802" s="64"/>
      <c r="R802" s="64"/>
      <c r="S802" s="64"/>
      <c r="T802" s="64"/>
      <c r="U802" s="64"/>
      <c r="V802" s="64"/>
      <c r="W802" s="64"/>
      <c r="X802" s="64"/>
      <c r="Y802" s="137"/>
      <c r="Z802" s="137"/>
      <c r="AA802" s="137"/>
      <c r="AB802" s="137"/>
      <c r="AC802" s="137"/>
    </row>
    <row r="803" spans="3:29" ht="15.75" customHeight="1">
      <c r="C803" s="63"/>
      <c r="D803" s="63"/>
      <c r="E803" s="63"/>
      <c r="F803" s="63"/>
      <c r="G803" s="63"/>
      <c r="H803" s="63"/>
      <c r="I803" s="63"/>
      <c r="J803" s="63"/>
      <c r="K803" s="63"/>
      <c r="L803" s="63"/>
      <c r="M803" s="168"/>
      <c r="N803" s="63"/>
      <c r="O803" s="64"/>
      <c r="P803" s="64"/>
      <c r="Q803" s="64"/>
      <c r="R803" s="64"/>
      <c r="S803" s="64"/>
      <c r="T803" s="64"/>
      <c r="U803" s="64"/>
      <c r="V803" s="64"/>
      <c r="W803" s="64"/>
      <c r="X803" s="64"/>
      <c r="Y803" s="137"/>
      <c r="Z803" s="137"/>
      <c r="AA803" s="137"/>
      <c r="AB803" s="137"/>
      <c r="AC803" s="137"/>
    </row>
    <row r="804" spans="3:29" ht="15.75" customHeight="1">
      <c r="C804" s="63"/>
      <c r="D804" s="63"/>
      <c r="E804" s="63"/>
      <c r="F804" s="63"/>
      <c r="G804" s="63"/>
      <c r="H804" s="63"/>
      <c r="I804" s="63"/>
      <c r="J804" s="63"/>
      <c r="K804" s="63"/>
      <c r="L804" s="63"/>
      <c r="M804" s="168"/>
      <c r="N804" s="63"/>
      <c r="O804" s="64"/>
      <c r="P804" s="64"/>
      <c r="Q804" s="64"/>
      <c r="R804" s="64"/>
      <c r="S804" s="64"/>
      <c r="T804" s="64"/>
      <c r="U804" s="64"/>
      <c r="V804" s="64"/>
      <c r="W804" s="64"/>
      <c r="X804" s="64"/>
      <c r="Y804" s="137"/>
      <c r="Z804" s="137"/>
      <c r="AA804" s="137"/>
      <c r="AB804" s="137"/>
      <c r="AC804" s="137"/>
    </row>
    <row r="805" spans="3:29" ht="15.75" customHeight="1">
      <c r="C805" s="63"/>
      <c r="D805" s="63"/>
      <c r="E805" s="63"/>
      <c r="F805" s="63"/>
      <c r="G805" s="63"/>
      <c r="H805" s="63"/>
      <c r="I805" s="63"/>
      <c r="J805" s="63"/>
      <c r="K805" s="63"/>
      <c r="L805" s="63"/>
      <c r="M805" s="168"/>
      <c r="N805" s="63"/>
      <c r="O805" s="64"/>
      <c r="P805" s="64"/>
      <c r="Q805" s="64"/>
      <c r="R805" s="64"/>
      <c r="S805" s="64"/>
      <c r="T805" s="64"/>
      <c r="U805" s="64"/>
      <c r="V805" s="64"/>
      <c r="W805" s="64"/>
      <c r="X805" s="64"/>
      <c r="Y805" s="137"/>
      <c r="Z805" s="137"/>
      <c r="AA805" s="137"/>
      <c r="AB805" s="137"/>
      <c r="AC805" s="137"/>
    </row>
    <row r="806" spans="3:29" ht="15.75" customHeight="1">
      <c r="C806" s="63"/>
      <c r="D806" s="63"/>
      <c r="E806" s="63"/>
      <c r="F806" s="63"/>
      <c r="G806" s="63"/>
      <c r="H806" s="63"/>
      <c r="I806" s="63"/>
      <c r="J806" s="63"/>
      <c r="K806" s="63"/>
      <c r="L806" s="63"/>
      <c r="M806" s="168"/>
      <c r="N806" s="63"/>
      <c r="O806" s="64"/>
      <c r="P806" s="64"/>
      <c r="Q806" s="64"/>
      <c r="R806" s="64"/>
      <c r="S806" s="64"/>
      <c r="T806" s="64"/>
      <c r="U806" s="64"/>
      <c r="V806" s="64"/>
      <c r="W806" s="64"/>
      <c r="X806" s="64"/>
      <c r="Y806" s="137"/>
      <c r="Z806" s="137"/>
      <c r="AA806" s="137"/>
      <c r="AB806" s="137"/>
      <c r="AC806" s="137"/>
    </row>
    <row r="807" spans="3:29" ht="15.75" customHeight="1">
      <c r="C807" s="63"/>
      <c r="D807" s="63"/>
      <c r="E807" s="63"/>
      <c r="F807" s="63"/>
      <c r="G807" s="63"/>
      <c r="H807" s="63"/>
      <c r="I807" s="63"/>
      <c r="J807" s="63"/>
      <c r="K807" s="63"/>
      <c r="L807" s="63"/>
      <c r="M807" s="168"/>
      <c r="N807" s="63"/>
      <c r="O807" s="64"/>
      <c r="P807" s="64"/>
      <c r="Q807" s="64"/>
      <c r="R807" s="64"/>
      <c r="S807" s="64"/>
      <c r="T807" s="64"/>
      <c r="U807" s="64"/>
      <c r="V807" s="64"/>
      <c r="W807" s="64"/>
      <c r="X807" s="64"/>
      <c r="Y807" s="137"/>
      <c r="Z807" s="137"/>
      <c r="AA807" s="137"/>
      <c r="AB807" s="137"/>
      <c r="AC807" s="137"/>
    </row>
    <row r="808" spans="3:29" ht="15.75" customHeight="1">
      <c r="C808" s="63"/>
      <c r="D808" s="63"/>
      <c r="E808" s="63"/>
      <c r="F808" s="63"/>
      <c r="G808" s="63"/>
      <c r="H808" s="63"/>
      <c r="I808" s="63"/>
      <c r="J808" s="63"/>
      <c r="K808" s="63"/>
      <c r="L808" s="63"/>
      <c r="M808" s="168"/>
      <c r="N808" s="63"/>
      <c r="O808" s="64"/>
      <c r="P808" s="64"/>
      <c r="Q808" s="64"/>
      <c r="R808" s="64"/>
      <c r="S808" s="64"/>
      <c r="T808" s="64"/>
      <c r="U808" s="64"/>
      <c r="V808" s="64"/>
      <c r="W808" s="64"/>
      <c r="X808" s="64"/>
      <c r="Y808" s="137"/>
      <c r="Z808" s="137"/>
      <c r="AA808" s="137"/>
      <c r="AB808" s="137"/>
      <c r="AC808" s="137"/>
    </row>
    <row r="809" spans="3:29" ht="15.75" customHeight="1">
      <c r="C809" s="63"/>
      <c r="D809" s="63"/>
      <c r="E809" s="63"/>
      <c r="F809" s="63"/>
      <c r="G809" s="63"/>
      <c r="H809" s="63"/>
      <c r="I809" s="63"/>
      <c r="J809" s="63"/>
      <c r="K809" s="63"/>
      <c r="L809" s="63"/>
      <c r="M809" s="168"/>
      <c r="N809" s="63"/>
      <c r="O809" s="64"/>
      <c r="P809" s="64"/>
      <c r="Q809" s="64"/>
      <c r="R809" s="64"/>
      <c r="S809" s="64"/>
      <c r="T809" s="64"/>
      <c r="U809" s="64"/>
      <c r="V809" s="64"/>
      <c r="W809" s="64"/>
      <c r="X809" s="64"/>
      <c r="Y809" s="137"/>
      <c r="Z809" s="137"/>
      <c r="AA809" s="137"/>
      <c r="AB809" s="137"/>
      <c r="AC809" s="137"/>
    </row>
    <row r="810" spans="3:29" ht="15.75" customHeight="1">
      <c r="C810" s="63"/>
      <c r="D810" s="63"/>
      <c r="E810" s="63"/>
      <c r="F810" s="63"/>
      <c r="G810" s="63"/>
      <c r="H810" s="63"/>
      <c r="I810" s="63"/>
      <c r="J810" s="63"/>
      <c r="K810" s="63"/>
      <c r="L810" s="63"/>
      <c r="M810" s="168"/>
      <c r="N810" s="63"/>
      <c r="O810" s="64"/>
      <c r="P810" s="64"/>
      <c r="Q810" s="64"/>
      <c r="R810" s="64"/>
      <c r="S810" s="64"/>
      <c r="T810" s="64"/>
      <c r="U810" s="64"/>
      <c r="V810" s="64"/>
      <c r="W810" s="64"/>
      <c r="X810" s="64"/>
      <c r="Y810" s="137"/>
      <c r="Z810" s="137"/>
      <c r="AA810" s="137"/>
      <c r="AB810" s="137"/>
      <c r="AC810" s="137"/>
    </row>
    <row r="811" spans="3:29" ht="15.75" customHeight="1">
      <c r="C811" s="63"/>
      <c r="D811" s="63"/>
      <c r="E811" s="63"/>
      <c r="F811" s="63"/>
      <c r="G811" s="63"/>
      <c r="H811" s="63"/>
      <c r="I811" s="63"/>
      <c r="J811" s="63"/>
      <c r="K811" s="63"/>
      <c r="L811" s="63"/>
      <c r="M811" s="168"/>
      <c r="N811" s="63"/>
      <c r="O811" s="64"/>
      <c r="P811" s="64"/>
      <c r="Q811" s="64"/>
      <c r="R811" s="64"/>
      <c r="S811" s="64"/>
      <c r="T811" s="64"/>
      <c r="U811" s="64"/>
      <c r="V811" s="64"/>
      <c r="W811" s="64"/>
      <c r="X811" s="64"/>
      <c r="Y811" s="137"/>
      <c r="Z811" s="137"/>
      <c r="AA811" s="137"/>
      <c r="AB811" s="137"/>
      <c r="AC811" s="137"/>
    </row>
    <row r="812" spans="3:29" ht="15.75" customHeight="1">
      <c r="C812" s="63"/>
      <c r="D812" s="63"/>
      <c r="E812" s="63"/>
      <c r="F812" s="63"/>
      <c r="G812" s="63"/>
      <c r="H812" s="63"/>
      <c r="I812" s="63"/>
      <c r="J812" s="63"/>
      <c r="K812" s="63"/>
      <c r="L812" s="63"/>
      <c r="M812" s="168"/>
      <c r="N812" s="63"/>
      <c r="O812" s="64"/>
      <c r="P812" s="64"/>
      <c r="Q812" s="64"/>
      <c r="R812" s="64"/>
      <c r="S812" s="64"/>
      <c r="T812" s="64"/>
      <c r="U812" s="64"/>
      <c r="V812" s="64"/>
      <c r="W812" s="64"/>
      <c r="X812" s="64"/>
      <c r="Y812" s="137"/>
      <c r="Z812" s="137"/>
      <c r="AA812" s="137"/>
      <c r="AB812" s="137"/>
      <c r="AC812" s="137"/>
    </row>
    <row r="813" spans="3:29" ht="15.75" customHeight="1">
      <c r="C813" s="63"/>
      <c r="D813" s="63"/>
      <c r="E813" s="63"/>
      <c r="F813" s="63"/>
      <c r="G813" s="63"/>
      <c r="H813" s="63"/>
      <c r="I813" s="63"/>
      <c r="J813" s="63"/>
      <c r="K813" s="63"/>
      <c r="L813" s="63"/>
      <c r="M813" s="168"/>
      <c r="N813" s="63"/>
      <c r="O813" s="64"/>
      <c r="P813" s="64"/>
      <c r="Q813" s="64"/>
      <c r="R813" s="64"/>
      <c r="S813" s="64"/>
      <c r="T813" s="64"/>
      <c r="U813" s="64"/>
      <c r="V813" s="64"/>
      <c r="W813" s="64"/>
      <c r="X813" s="64"/>
      <c r="Y813" s="137"/>
      <c r="Z813" s="137"/>
      <c r="AA813" s="137"/>
      <c r="AB813" s="137"/>
      <c r="AC813" s="137"/>
    </row>
    <row r="814" spans="3:29" ht="15.75" customHeight="1">
      <c r="C814" s="63"/>
      <c r="D814" s="63"/>
      <c r="E814" s="63"/>
      <c r="F814" s="63"/>
      <c r="G814" s="63"/>
      <c r="H814" s="63"/>
      <c r="I814" s="63"/>
      <c r="J814" s="63"/>
      <c r="K814" s="63"/>
      <c r="L814" s="63"/>
      <c r="M814" s="168"/>
      <c r="N814" s="63"/>
      <c r="O814" s="64"/>
      <c r="P814" s="64"/>
      <c r="Q814" s="64"/>
      <c r="R814" s="64"/>
      <c r="S814" s="64"/>
      <c r="T814" s="64"/>
      <c r="U814" s="64"/>
      <c r="V814" s="64"/>
      <c r="W814" s="64"/>
      <c r="X814" s="64"/>
      <c r="Y814" s="137"/>
      <c r="Z814" s="137"/>
      <c r="AA814" s="137"/>
      <c r="AB814" s="137"/>
      <c r="AC814" s="137"/>
    </row>
    <row r="815" spans="3:29" ht="15.75" customHeight="1">
      <c r="C815" s="63"/>
      <c r="D815" s="63"/>
      <c r="E815" s="63"/>
      <c r="F815" s="63"/>
      <c r="G815" s="63"/>
      <c r="H815" s="63"/>
      <c r="I815" s="63"/>
      <c r="J815" s="63"/>
      <c r="K815" s="63"/>
      <c r="L815" s="63"/>
      <c r="M815" s="168"/>
      <c r="N815" s="63"/>
      <c r="O815" s="64"/>
      <c r="P815" s="64"/>
      <c r="Q815" s="64"/>
      <c r="R815" s="64"/>
      <c r="S815" s="64"/>
      <c r="T815" s="64"/>
      <c r="U815" s="64"/>
      <c r="V815" s="64"/>
      <c r="W815" s="64"/>
      <c r="X815" s="64"/>
      <c r="Y815" s="137"/>
      <c r="Z815" s="137"/>
      <c r="AA815" s="137"/>
      <c r="AB815" s="137"/>
      <c r="AC815" s="137"/>
    </row>
    <row r="816" spans="3:29" ht="15.75" customHeight="1">
      <c r="C816" s="63"/>
      <c r="D816" s="63"/>
      <c r="E816" s="63"/>
      <c r="F816" s="63"/>
      <c r="G816" s="63"/>
      <c r="H816" s="63"/>
      <c r="I816" s="63"/>
      <c r="J816" s="63"/>
      <c r="K816" s="63"/>
      <c r="L816" s="63"/>
      <c r="M816" s="168"/>
      <c r="N816" s="63"/>
      <c r="O816" s="64"/>
      <c r="P816" s="64"/>
      <c r="Q816" s="64"/>
      <c r="R816" s="64"/>
      <c r="S816" s="64"/>
      <c r="T816" s="64"/>
      <c r="U816" s="64"/>
      <c r="V816" s="64"/>
      <c r="W816" s="64"/>
      <c r="X816" s="64"/>
      <c r="Y816" s="137"/>
      <c r="Z816" s="137"/>
      <c r="AA816" s="137"/>
      <c r="AB816" s="137"/>
      <c r="AC816" s="137"/>
    </row>
    <row r="817" spans="3:29" ht="15.75" customHeight="1">
      <c r="C817" s="63"/>
      <c r="D817" s="63"/>
      <c r="E817" s="63"/>
      <c r="F817" s="63"/>
      <c r="G817" s="63"/>
      <c r="H817" s="63"/>
      <c r="I817" s="63"/>
      <c r="J817" s="63"/>
      <c r="K817" s="63"/>
      <c r="L817" s="63"/>
      <c r="M817" s="168"/>
      <c r="N817" s="63"/>
      <c r="O817" s="64"/>
      <c r="P817" s="64"/>
      <c r="Q817" s="64"/>
      <c r="R817" s="64"/>
      <c r="S817" s="64"/>
      <c r="T817" s="64"/>
      <c r="U817" s="64"/>
      <c r="V817" s="64"/>
      <c r="W817" s="64"/>
      <c r="X817" s="64"/>
      <c r="Y817" s="137"/>
      <c r="Z817" s="137"/>
      <c r="AA817" s="137"/>
      <c r="AB817" s="137"/>
      <c r="AC817" s="137"/>
    </row>
    <row r="818" spans="3:29" ht="15.75" customHeight="1">
      <c r="C818" s="63"/>
      <c r="D818" s="63"/>
      <c r="E818" s="63"/>
      <c r="F818" s="63"/>
      <c r="G818" s="63"/>
      <c r="H818" s="63"/>
      <c r="I818" s="63"/>
      <c r="J818" s="63"/>
      <c r="K818" s="63"/>
      <c r="L818" s="63"/>
      <c r="M818" s="168"/>
      <c r="N818" s="63"/>
      <c r="O818" s="64"/>
      <c r="P818" s="64"/>
      <c r="Q818" s="64"/>
      <c r="R818" s="64"/>
      <c r="S818" s="64"/>
      <c r="T818" s="64"/>
      <c r="U818" s="64"/>
      <c r="V818" s="64"/>
      <c r="W818" s="64"/>
      <c r="X818" s="64"/>
      <c r="Y818" s="137"/>
      <c r="Z818" s="137"/>
      <c r="AA818" s="137"/>
      <c r="AB818" s="137"/>
      <c r="AC818" s="137"/>
    </row>
    <row r="819" spans="3:29" ht="15.75" customHeight="1">
      <c r="C819" s="63"/>
      <c r="D819" s="63"/>
      <c r="E819" s="63"/>
      <c r="F819" s="63"/>
      <c r="G819" s="63"/>
      <c r="H819" s="63"/>
      <c r="I819" s="63"/>
      <c r="J819" s="63"/>
      <c r="K819" s="63"/>
      <c r="L819" s="63"/>
      <c r="M819" s="168"/>
      <c r="N819" s="63"/>
      <c r="O819" s="64"/>
      <c r="P819" s="64"/>
      <c r="Q819" s="64"/>
      <c r="R819" s="64"/>
      <c r="S819" s="64"/>
      <c r="T819" s="64"/>
      <c r="U819" s="64"/>
      <c r="V819" s="64"/>
      <c r="W819" s="64"/>
      <c r="X819" s="64"/>
      <c r="Y819" s="137"/>
      <c r="Z819" s="137"/>
      <c r="AA819" s="137"/>
      <c r="AB819" s="137"/>
      <c r="AC819" s="137"/>
    </row>
    <row r="820" spans="3:29" ht="15.75" customHeight="1">
      <c r="C820" s="63"/>
      <c r="D820" s="63"/>
      <c r="E820" s="63"/>
      <c r="F820" s="63"/>
      <c r="G820" s="63"/>
      <c r="H820" s="63"/>
      <c r="I820" s="63"/>
      <c r="J820" s="63"/>
      <c r="K820" s="63"/>
      <c r="L820" s="63"/>
      <c r="M820" s="168"/>
      <c r="N820" s="63"/>
      <c r="O820" s="64"/>
      <c r="P820" s="64"/>
      <c r="Q820" s="64"/>
      <c r="R820" s="64"/>
      <c r="S820" s="64"/>
      <c r="T820" s="64"/>
      <c r="U820" s="64"/>
      <c r="V820" s="64"/>
      <c r="W820" s="64"/>
      <c r="X820" s="64"/>
      <c r="Y820" s="137"/>
      <c r="Z820" s="137"/>
      <c r="AA820" s="137"/>
      <c r="AB820" s="137"/>
      <c r="AC820" s="137"/>
    </row>
    <row r="821" spans="3:29" ht="15.75" customHeight="1">
      <c r="C821" s="63"/>
      <c r="D821" s="63"/>
      <c r="E821" s="63"/>
      <c r="F821" s="63"/>
      <c r="G821" s="63"/>
      <c r="H821" s="63"/>
      <c r="I821" s="63"/>
      <c r="J821" s="63"/>
      <c r="K821" s="63"/>
      <c r="L821" s="63"/>
      <c r="M821" s="168"/>
      <c r="N821" s="63"/>
      <c r="O821" s="64"/>
      <c r="P821" s="64"/>
      <c r="Q821" s="64"/>
      <c r="R821" s="64"/>
      <c r="S821" s="64"/>
      <c r="T821" s="64"/>
      <c r="U821" s="64"/>
      <c r="V821" s="64"/>
      <c r="W821" s="64"/>
      <c r="X821" s="64"/>
      <c r="Y821" s="137"/>
      <c r="Z821" s="137"/>
      <c r="AA821" s="137"/>
      <c r="AB821" s="137"/>
      <c r="AC821" s="137"/>
    </row>
    <row r="822" spans="3:29" ht="15.75" customHeight="1">
      <c r="C822" s="63"/>
      <c r="D822" s="63"/>
      <c r="E822" s="63"/>
      <c r="F822" s="63"/>
      <c r="G822" s="63"/>
      <c r="H822" s="63"/>
      <c r="I822" s="63"/>
      <c r="J822" s="63"/>
      <c r="K822" s="63"/>
      <c r="L822" s="63"/>
      <c r="M822" s="168"/>
      <c r="N822" s="63"/>
      <c r="O822" s="64"/>
      <c r="P822" s="64"/>
      <c r="Q822" s="64"/>
      <c r="R822" s="64"/>
      <c r="S822" s="64"/>
      <c r="T822" s="64"/>
      <c r="U822" s="64"/>
      <c r="V822" s="64"/>
      <c r="W822" s="64"/>
      <c r="X822" s="64"/>
      <c r="Y822" s="137"/>
      <c r="Z822" s="137"/>
      <c r="AA822" s="137"/>
      <c r="AB822" s="137"/>
      <c r="AC822" s="137"/>
    </row>
    <row r="823" spans="3:29" ht="15.75" customHeight="1">
      <c r="C823" s="63"/>
      <c r="D823" s="63"/>
      <c r="E823" s="63"/>
      <c r="F823" s="63"/>
      <c r="G823" s="63"/>
      <c r="H823" s="63"/>
      <c r="I823" s="63"/>
      <c r="J823" s="63"/>
      <c r="K823" s="63"/>
      <c r="L823" s="63"/>
      <c r="M823" s="168"/>
      <c r="N823" s="63"/>
      <c r="O823" s="64"/>
      <c r="P823" s="64"/>
      <c r="Q823" s="64"/>
      <c r="R823" s="64"/>
      <c r="S823" s="64"/>
      <c r="T823" s="64"/>
      <c r="U823" s="64"/>
      <c r="V823" s="64"/>
      <c r="W823" s="64"/>
      <c r="X823" s="64"/>
      <c r="Y823" s="137"/>
      <c r="Z823" s="137"/>
      <c r="AA823" s="137"/>
      <c r="AB823" s="137"/>
      <c r="AC823" s="137"/>
    </row>
    <row r="824" spans="3:29" ht="15.75" customHeight="1">
      <c r="C824" s="63"/>
      <c r="D824" s="63"/>
      <c r="E824" s="63"/>
      <c r="F824" s="63"/>
      <c r="G824" s="63"/>
      <c r="H824" s="63"/>
      <c r="I824" s="63"/>
      <c r="J824" s="63"/>
      <c r="K824" s="63"/>
      <c r="L824" s="63"/>
      <c r="M824" s="168"/>
      <c r="N824" s="63"/>
      <c r="O824" s="64"/>
      <c r="P824" s="64"/>
      <c r="Q824" s="64"/>
      <c r="R824" s="64"/>
      <c r="S824" s="64"/>
      <c r="T824" s="64"/>
      <c r="U824" s="64"/>
      <c r="V824" s="64"/>
      <c r="W824" s="64"/>
      <c r="X824" s="64"/>
      <c r="Y824" s="137"/>
      <c r="Z824" s="137"/>
      <c r="AA824" s="137"/>
      <c r="AB824" s="137"/>
      <c r="AC824" s="137"/>
    </row>
    <row r="825" spans="3:29" ht="15.75" customHeight="1">
      <c r="C825" s="63"/>
      <c r="D825" s="63"/>
      <c r="E825" s="63"/>
      <c r="F825" s="63"/>
      <c r="G825" s="63"/>
      <c r="H825" s="63"/>
      <c r="I825" s="63"/>
      <c r="J825" s="63"/>
      <c r="K825" s="63"/>
      <c r="L825" s="63"/>
      <c r="M825" s="168"/>
      <c r="N825" s="63"/>
      <c r="O825" s="64"/>
      <c r="P825" s="64"/>
      <c r="Q825" s="64"/>
      <c r="R825" s="64"/>
      <c r="S825" s="64"/>
      <c r="T825" s="64"/>
      <c r="U825" s="64"/>
      <c r="V825" s="64"/>
      <c r="W825" s="64"/>
      <c r="X825" s="64"/>
      <c r="Y825" s="137"/>
      <c r="Z825" s="137"/>
      <c r="AA825" s="137"/>
      <c r="AB825" s="137"/>
      <c r="AC825" s="137"/>
    </row>
    <row r="826" spans="3:29" ht="15.75" customHeight="1">
      <c r="C826" s="63"/>
      <c r="D826" s="63"/>
      <c r="E826" s="63"/>
      <c r="F826" s="63"/>
      <c r="G826" s="63"/>
      <c r="H826" s="63"/>
      <c r="I826" s="63"/>
      <c r="J826" s="63"/>
      <c r="K826" s="63"/>
      <c r="L826" s="63"/>
      <c r="M826" s="168"/>
      <c r="N826" s="63"/>
      <c r="O826" s="64"/>
      <c r="P826" s="64"/>
      <c r="Q826" s="64"/>
      <c r="R826" s="64"/>
      <c r="S826" s="64"/>
      <c r="T826" s="64"/>
      <c r="U826" s="64"/>
      <c r="V826" s="64"/>
      <c r="W826" s="64"/>
      <c r="X826" s="64"/>
      <c r="Y826" s="137"/>
      <c r="Z826" s="137"/>
      <c r="AA826" s="137"/>
      <c r="AB826" s="137"/>
      <c r="AC826" s="137"/>
    </row>
    <row r="827" spans="3:29" ht="15.75" customHeight="1">
      <c r="C827" s="63"/>
      <c r="D827" s="63"/>
      <c r="E827" s="63"/>
      <c r="F827" s="63"/>
      <c r="G827" s="63"/>
      <c r="H827" s="63"/>
      <c r="I827" s="63"/>
      <c r="J827" s="63"/>
      <c r="K827" s="63"/>
      <c r="L827" s="63"/>
      <c r="M827" s="168"/>
      <c r="N827" s="63"/>
      <c r="O827" s="64"/>
      <c r="P827" s="64"/>
      <c r="Q827" s="64"/>
      <c r="R827" s="64"/>
      <c r="S827" s="64"/>
      <c r="T827" s="64"/>
      <c r="U827" s="64"/>
      <c r="V827" s="64"/>
      <c r="W827" s="64"/>
      <c r="X827" s="64"/>
      <c r="Y827" s="137"/>
      <c r="Z827" s="137"/>
      <c r="AA827" s="137"/>
      <c r="AB827" s="137"/>
      <c r="AC827" s="137"/>
    </row>
    <row r="828" spans="3:29" ht="15.75" customHeight="1">
      <c r="C828" s="63"/>
      <c r="D828" s="63"/>
      <c r="E828" s="63"/>
      <c r="F828" s="63"/>
      <c r="G828" s="63"/>
      <c r="H828" s="63"/>
      <c r="I828" s="63"/>
      <c r="J828" s="63"/>
      <c r="K828" s="63"/>
      <c r="L828" s="63"/>
      <c r="M828" s="168"/>
      <c r="N828" s="63"/>
      <c r="O828" s="64"/>
      <c r="P828" s="64"/>
      <c r="Q828" s="64"/>
      <c r="R828" s="64"/>
      <c r="S828" s="64"/>
      <c r="T828" s="64"/>
      <c r="U828" s="64"/>
      <c r="V828" s="64"/>
      <c r="W828" s="64"/>
      <c r="X828" s="64"/>
      <c r="Y828" s="137"/>
      <c r="Z828" s="137"/>
      <c r="AA828" s="137"/>
      <c r="AB828" s="137"/>
      <c r="AC828" s="137"/>
    </row>
    <row r="829" spans="3:29" ht="15.75" customHeight="1">
      <c r="C829" s="63"/>
      <c r="D829" s="63"/>
      <c r="E829" s="63"/>
      <c r="F829" s="63"/>
      <c r="G829" s="63"/>
      <c r="H829" s="63"/>
      <c r="I829" s="63"/>
      <c r="J829" s="63"/>
      <c r="K829" s="63"/>
      <c r="L829" s="63"/>
      <c r="M829" s="168"/>
      <c r="N829" s="63"/>
      <c r="O829" s="64"/>
      <c r="P829" s="64"/>
      <c r="Q829" s="64"/>
      <c r="R829" s="64"/>
      <c r="S829" s="64"/>
      <c r="T829" s="64"/>
      <c r="U829" s="64"/>
      <c r="V829" s="64"/>
      <c r="W829" s="64"/>
      <c r="X829" s="64"/>
      <c r="Y829" s="137"/>
      <c r="Z829" s="137"/>
      <c r="AA829" s="137"/>
      <c r="AB829" s="137"/>
      <c r="AC829" s="137"/>
    </row>
    <row r="830" spans="3:29" ht="15.75" customHeight="1">
      <c r="C830" s="63"/>
      <c r="D830" s="63"/>
      <c r="E830" s="63"/>
      <c r="F830" s="63"/>
      <c r="G830" s="63"/>
      <c r="H830" s="63"/>
      <c r="I830" s="63"/>
      <c r="J830" s="63"/>
      <c r="K830" s="63"/>
      <c r="L830" s="63"/>
      <c r="M830" s="168"/>
      <c r="N830" s="63"/>
      <c r="O830" s="64"/>
      <c r="P830" s="64"/>
      <c r="Q830" s="64"/>
      <c r="R830" s="64"/>
      <c r="S830" s="64"/>
      <c r="T830" s="64"/>
      <c r="U830" s="64"/>
      <c r="V830" s="64"/>
      <c r="W830" s="64"/>
      <c r="X830" s="64"/>
      <c r="Y830" s="137"/>
      <c r="Z830" s="137"/>
      <c r="AA830" s="137"/>
      <c r="AB830" s="137"/>
      <c r="AC830" s="137"/>
    </row>
    <row r="831" spans="3:29" ht="15.75" customHeight="1">
      <c r="C831" s="63"/>
      <c r="D831" s="63"/>
      <c r="E831" s="63"/>
      <c r="F831" s="63"/>
      <c r="G831" s="63"/>
      <c r="H831" s="63"/>
      <c r="I831" s="63"/>
      <c r="J831" s="63"/>
      <c r="K831" s="63"/>
      <c r="L831" s="63"/>
      <c r="M831" s="168"/>
      <c r="N831" s="63"/>
      <c r="O831" s="64"/>
      <c r="P831" s="64"/>
      <c r="Q831" s="64"/>
      <c r="R831" s="64"/>
      <c r="S831" s="64"/>
      <c r="T831" s="64"/>
      <c r="U831" s="64"/>
      <c r="V831" s="64"/>
      <c r="W831" s="64"/>
      <c r="X831" s="64"/>
      <c r="Y831" s="137"/>
      <c r="Z831" s="137"/>
      <c r="AA831" s="137"/>
      <c r="AB831" s="137"/>
      <c r="AC831" s="137"/>
    </row>
    <row r="832" spans="3:29" ht="15.75" customHeight="1">
      <c r="C832" s="63"/>
      <c r="D832" s="63"/>
      <c r="E832" s="63"/>
      <c r="F832" s="63"/>
      <c r="G832" s="63"/>
      <c r="H832" s="63"/>
      <c r="I832" s="63"/>
      <c r="J832" s="63"/>
      <c r="K832" s="63"/>
      <c r="L832" s="63"/>
      <c r="M832" s="168"/>
      <c r="N832" s="63"/>
      <c r="O832" s="64"/>
      <c r="P832" s="64"/>
      <c r="Q832" s="64"/>
      <c r="R832" s="64"/>
      <c r="S832" s="64"/>
      <c r="T832" s="64"/>
      <c r="U832" s="64"/>
      <c r="V832" s="64"/>
      <c r="W832" s="64"/>
      <c r="X832" s="64"/>
      <c r="Y832" s="137"/>
      <c r="Z832" s="137"/>
      <c r="AA832" s="137"/>
      <c r="AB832" s="137"/>
      <c r="AC832" s="137"/>
    </row>
    <row r="833" spans="3:29" ht="15.75" customHeight="1">
      <c r="C833" s="63"/>
      <c r="D833" s="63"/>
      <c r="E833" s="63"/>
      <c r="F833" s="63"/>
      <c r="G833" s="63"/>
      <c r="H833" s="63"/>
      <c r="I833" s="63"/>
      <c r="J833" s="63"/>
      <c r="K833" s="63"/>
      <c r="L833" s="63"/>
      <c r="M833" s="168"/>
      <c r="N833" s="63"/>
      <c r="O833" s="64"/>
      <c r="P833" s="64"/>
      <c r="Q833" s="64"/>
      <c r="R833" s="64"/>
      <c r="S833" s="64"/>
      <c r="T833" s="64"/>
      <c r="U833" s="64"/>
      <c r="V833" s="64"/>
      <c r="W833" s="64"/>
      <c r="X833" s="64"/>
      <c r="Y833" s="137"/>
      <c r="Z833" s="137"/>
      <c r="AA833" s="137"/>
      <c r="AB833" s="137"/>
      <c r="AC833" s="137"/>
    </row>
    <row r="834" spans="3:29" ht="15.75" customHeight="1">
      <c r="C834" s="63"/>
      <c r="D834" s="63"/>
      <c r="E834" s="63"/>
      <c r="F834" s="63"/>
      <c r="G834" s="63"/>
      <c r="H834" s="63"/>
      <c r="I834" s="63"/>
      <c r="J834" s="63"/>
      <c r="K834" s="63"/>
      <c r="L834" s="63"/>
      <c r="M834" s="168"/>
      <c r="N834" s="63"/>
      <c r="O834" s="64"/>
      <c r="P834" s="64"/>
      <c r="Q834" s="64"/>
      <c r="R834" s="64"/>
      <c r="S834" s="64"/>
      <c r="T834" s="64"/>
      <c r="U834" s="64"/>
      <c r="V834" s="64"/>
      <c r="W834" s="64"/>
      <c r="X834" s="64"/>
      <c r="Y834" s="137"/>
      <c r="Z834" s="137"/>
      <c r="AA834" s="137"/>
      <c r="AB834" s="137"/>
      <c r="AC834" s="137"/>
    </row>
    <row r="835" spans="3:29" ht="15.75" customHeight="1">
      <c r="C835" s="63"/>
      <c r="D835" s="63"/>
      <c r="E835" s="63"/>
      <c r="F835" s="63"/>
      <c r="G835" s="63"/>
      <c r="H835" s="63"/>
      <c r="I835" s="63"/>
      <c r="J835" s="63"/>
      <c r="K835" s="63"/>
      <c r="L835" s="63"/>
      <c r="M835" s="168"/>
      <c r="N835" s="63"/>
      <c r="O835" s="64"/>
      <c r="P835" s="64"/>
      <c r="Q835" s="64"/>
      <c r="R835" s="64"/>
      <c r="S835" s="64"/>
      <c r="T835" s="64"/>
      <c r="U835" s="64"/>
      <c r="V835" s="64"/>
      <c r="W835" s="64"/>
      <c r="X835" s="64"/>
      <c r="Y835" s="137"/>
      <c r="Z835" s="137"/>
      <c r="AA835" s="137"/>
      <c r="AB835" s="137"/>
      <c r="AC835" s="137"/>
    </row>
    <row r="836" spans="3:29" ht="15.75" customHeight="1">
      <c r="C836" s="63"/>
      <c r="D836" s="63"/>
      <c r="E836" s="63"/>
      <c r="F836" s="63"/>
      <c r="G836" s="63"/>
      <c r="H836" s="63"/>
      <c r="I836" s="63"/>
      <c r="J836" s="63"/>
      <c r="K836" s="63"/>
      <c r="L836" s="63"/>
      <c r="M836" s="168"/>
      <c r="N836" s="63"/>
      <c r="O836" s="64"/>
      <c r="P836" s="64"/>
      <c r="Q836" s="64"/>
      <c r="R836" s="64"/>
      <c r="S836" s="64"/>
      <c r="T836" s="64"/>
      <c r="U836" s="64"/>
      <c r="V836" s="64"/>
      <c r="W836" s="64"/>
      <c r="X836" s="64"/>
      <c r="Y836" s="137"/>
      <c r="Z836" s="137"/>
      <c r="AA836" s="137"/>
      <c r="AB836" s="137"/>
      <c r="AC836" s="137"/>
    </row>
    <row r="837" spans="3:29" ht="15.75" customHeight="1">
      <c r="C837" s="63"/>
      <c r="D837" s="63"/>
      <c r="E837" s="63"/>
      <c r="F837" s="63"/>
      <c r="G837" s="63"/>
      <c r="H837" s="63"/>
      <c r="I837" s="63"/>
      <c r="J837" s="63"/>
      <c r="K837" s="63"/>
      <c r="L837" s="63"/>
      <c r="M837" s="168"/>
      <c r="N837" s="63"/>
      <c r="O837" s="64"/>
      <c r="P837" s="64"/>
      <c r="Q837" s="64"/>
      <c r="R837" s="64"/>
      <c r="S837" s="64"/>
      <c r="T837" s="64"/>
      <c r="U837" s="64"/>
      <c r="V837" s="64"/>
      <c r="W837" s="64"/>
      <c r="X837" s="64"/>
      <c r="Y837" s="137"/>
      <c r="Z837" s="137"/>
      <c r="AA837" s="137"/>
      <c r="AB837" s="137"/>
      <c r="AC837" s="137"/>
    </row>
    <row r="838" spans="3:29" ht="15.75" customHeight="1">
      <c r="C838" s="63"/>
      <c r="D838" s="63"/>
      <c r="E838" s="63"/>
      <c r="F838" s="63"/>
      <c r="G838" s="63"/>
      <c r="H838" s="63"/>
      <c r="I838" s="63"/>
      <c r="J838" s="63"/>
      <c r="K838" s="63"/>
      <c r="L838" s="63"/>
      <c r="M838" s="168"/>
      <c r="N838" s="63"/>
      <c r="O838" s="64"/>
      <c r="P838" s="64"/>
      <c r="Q838" s="64"/>
      <c r="R838" s="64"/>
      <c r="S838" s="64"/>
      <c r="T838" s="64"/>
      <c r="U838" s="64"/>
      <c r="V838" s="64"/>
      <c r="W838" s="64"/>
      <c r="X838" s="64"/>
      <c r="Y838" s="137"/>
      <c r="Z838" s="137"/>
      <c r="AA838" s="137"/>
      <c r="AB838" s="137"/>
      <c r="AC838" s="137"/>
    </row>
    <row r="839" spans="3:29" ht="15.75" customHeight="1">
      <c r="C839" s="63"/>
      <c r="D839" s="63"/>
      <c r="E839" s="63"/>
      <c r="F839" s="63"/>
      <c r="G839" s="63"/>
      <c r="H839" s="63"/>
      <c r="I839" s="63"/>
      <c r="J839" s="63"/>
      <c r="K839" s="63"/>
      <c r="L839" s="63"/>
      <c r="M839" s="168"/>
      <c r="N839" s="63"/>
      <c r="O839" s="64"/>
      <c r="P839" s="64"/>
      <c r="Q839" s="64"/>
      <c r="R839" s="64"/>
      <c r="S839" s="64"/>
      <c r="T839" s="64"/>
      <c r="U839" s="64"/>
      <c r="V839" s="64"/>
      <c r="W839" s="64"/>
      <c r="X839" s="64"/>
      <c r="Y839" s="137"/>
      <c r="Z839" s="137"/>
      <c r="AA839" s="137"/>
      <c r="AB839" s="137"/>
      <c r="AC839" s="137"/>
    </row>
    <row r="840" spans="3:29" ht="15.75" customHeight="1">
      <c r="C840" s="63"/>
      <c r="D840" s="63"/>
      <c r="E840" s="63"/>
      <c r="F840" s="63"/>
      <c r="G840" s="63"/>
      <c r="H840" s="63"/>
      <c r="I840" s="63"/>
      <c r="J840" s="63"/>
      <c r="K840" s="63"/>
      <c r="L840" s="63"/>
      <c r="M840" s="168"/>
      <c r="N840" s="63"/>
      <c r="O840" s="64"/>
      <c r="P840" s="64"/>
      <c r="Q840" s="64"/>
      <c r="R840" s="64"/>
      <c r="S840" s="64"/>
      <c r="T840" s="64"/>
      <c r="U840" s="64"/>
      <c r="V840" s="64"/>
      <c r="W840" s="64"/>
      <c r="X840" s="64"/>
      <c r="Y840" s="137"/>
      <c r="Z840" s="137"/>
      <c r="AA840" s="137"/>
      <c r="AB840" s="137"/>
      <c r="AC840" s="137"/>
    </row>
    <row r="841" spans="3:29" ht="15.75" customHeight="1">
      <c r="C841" s="63"/>
      <c r="D841" s="63"/>
      <c r="E841" s="63"/>
      <c r="F841" s="63"/>
      <c r="G841" s="63"/>
      <c r="H841" s="63"/>
      <c r="I841" s="63"/>
      <c r="J841" s="63"/>
      <c r="K841" s="63"/>
      <c r="L841" s="63"/>
      <c r="M841" s="168"/>
      <c r="N841" s="63"/>
      <c r="O841" s="64"/>
      <c r="P841" s="64"/>
      <c r="Q841" s="64"/>
      <c r="R841" s="64"/>
      <c r="S841" s="64"/>
      <c r="T841" s="64"/>
      <c r="U841" s="64"/>
      <c r="V841" s="64"/>
      <c r="W841" s="64"/>
      <c r="X841" s="64"/>
      <c r="Y841" s="137"/>
      <c r="Z841" s="137"/>
      <c r="AA841" s="137"/>
      <c r="AB841" s="137"/>
      <c r="AC841" s="137"/>
    </row>
    <row r="842" spans="3:29" ht="15.75" customHeight="1">
      <c r="C842" s="63"/>
      <c r="D842" s="63"/>
      <c r="E842" s="63"/>
      <c r="F842" s="63"/>
      <c r="G842" s="63"/>
      <c r="H842" s="63"/>
      <c r="I842" s="63"/>
      <c r="J842" s="63"/>
      <c r="K842" s="63"/>
      <c r="L842" s="63"/>
      <c r="M842" s="168"/>
      <c r="N842" s="63"/>
      <c r="O842" s="64"/>
      <c r="P842" s="64"/>
      <c r="Q842" s="64"/>
      <c r="R842" s="64"/>
      <c r="S842" s="64"/>
      <c r="T842" s="64"/>
      <c r="U842" s="64"/>
      <c r="V842" s="64"/>
      <c r="W842" s="64"/>
      <c r="X842" s="64"/>
      <c r="Y842" s="137"/>
      <c r="Z842" s="137"/>
      <c r="AA842" s="137"/>
      <c r="AB842" s="137"/>
      <c r="AC842" s="137"/>
    </row>
    <row r="843" spans="3:29" ht="15.75" customHeight="1">
      <c r="C843" s="63"/>
      <c r="D843" s="63"/>
      <c r="E843" s="63"/>
      <c r="F843" s="63"/>
      <c r="G843" s="63"/>
      <c r="H843" s="63"/>
      <c r="I843" s="63"/>
      <c r="J843" s="63"/>
      <c r="K843" s="63"/>
      <c r="L843" s="63"/>
      <c r="M843" s="168"/>
      <c r="N843" s="63"/>
      <c r="O843" s="64"/>
      <c r="P843" s="64"/>
      <c r="Q843" s="64"/>
      <c r="R843" s="64"/>
      <c r="S843" s="64"/>
      <c r="T843" s="64"/>
      <c r="U843" s="64"/>
      <c r="V843" s="64"/>
      <c r="W843" s="64"/>
      <c r="X843" s="64"/>
      <c r="Y843" s="137"/>
      <c r="Z843" s="137"/>
      <c r="AA843" s="137"/>
      <c r="AB843" s="137"/>
      <c r="AC843" s="137"/>
    </row>
    <row r="844" spans="3:29" ht="15.75" customHeight="1">
      <c r="C844" s="63"/>
      <c r="D844" s="63"/>
      <c r="E844" s="63"/>
      <c r="F844" s="63"/>
      <c r="G844" s="63"/>
      <c r="H844" s="63"/>
      <c r="I844" s="63"/>
      <c r="J844" s="63"/>
      <c r="K844" s="63"/>
      <c r="L844" s="63"/>
      <c r="M844" s="168"/>
      <c r="N844" s="63"/>
      <c r="O844" s="64"/>
      <c r="P844" s="64"/>
      <c r="Q844" s="64"/>
      <c r="R844" s="64"/>
      <c r="S844" s="64"/>
      <c r="T844" s="64"/>
      <c r="U844" s="64"/>
      <c r="V844" s="64"/>
      <c r="W844" s="64"/>
      <c r="X844" s="64"/>
      <c r="Y844" s="137"/>
      <c r="Z844" s="137"/>
      <c r="AA844" s="137"/>
      <c r="AB844" s="137"/>
      <c r="AC844" s="137"/>
    </row>
    <row r="845" spans="3:29" ht="15.75" customHeight="1">
      <c r="C845" s="63"/>
      <c r="D845" s="63"/>
      <c r="E845" s="63"/>
      <c r="F845" s="63"/>
      <c r="G845" s="63"/>
      <c r="H845" s="63"/>
      <c r="I845" s="63"/>
      <c r="J845" s="63"/>
      <c r="K845" s="63"/>
      <c r="L845" s="63"/>
      <c r="M845" s="168"/>
      <c r="N845" s="63"/>
      <c r="O845" s="64"/>
      <c r="P845" s="64"/>
      <c r="Q845" s="64"/>
      <c r="R845" s="64"/>
      <c r="S845" s="64"/>
      <c r="T845" s="64"/>
      <c r="U845" s="64"/>
      <c r="V845" s="64"/>
      <c r="W845" s="64"/>
      <c r="X845" s="64"/>
      <c r="Y845" s="137"/>
      <c r="Z845" s="137"/>
      <c r="AA845" s="137"/>
      <c r="AB845" s="137"/>
      <c r="AC845" s="137"/>
    </row>
    <row r="846" spans="3:29" ht="15.75" customHeight="1">
      <c r="C846" s="63"/>
      <c r="D846" s="63"/>
      <c r="E846" s="63"/>
      <c r="F846" s="63"/>
      <c r="G846" s="63"/>
      <c r="H846" s="63"/>
      <c r="I846" s="63"/>
      <c r="J846" s="63"/>
      <c r="K846" s="63"/>
      <c r="L846" s="63"/>
      <c r="M846" s="168"/>
      <c r="N846" s="63"/>
      <c r="O846" s="64"/>
      <c r="P846" s="64"/>
      <c r="Q846" s="64"/>
      <c r="R846" s="64"/>
      <c r="S846" s="64"/>
      <c r="T846" s="64"/>
      <c r="U846" s="64"/>
      <c r="V846" s="64"/>
      <c r="W846" s="64"/>
      <c r="X846" s="64"/>
      <c r="Y846" s="137"/>
      <c r="Z846" s="137"/>
      <c r="AA846" s="137"/>
      <c r="AB846" s="137"/>
      <c r="AC846" s="137"/>
    </row>
    <row r="847" spans="3:29" ht="15.75" customHeight="1">
      <c r="C847" s="63"/>
      <c r="D847" s="63"/>
      <c r="E847" s="63"/>
      <c r="F847" s="63"/>
      <c r="G847" s="63"/>
      <c r="H847" s="63"/>
      <c r="I847" s="63"/>
      <c r="J847" s="63"/>
      <c r="K847" s="63"/>
      <c r="L847" s="63"/>
      <c r="M847" s="168"/>
      <c r="N847" s="63"/>
      <c r="O847" s="64"/>
      <c r="P847" s="64"/>
      <c r="Q847" s="64"/>
      <c r="R847" s="64"/>
      <c r="S847" s="64"/>
      <c r="T847" s="64"/>
      <c r="U847" s="64"/>
      <c r="V847" s="64"/>
      <c r="W847" s="64"/>
      <c r="X847" s="64"/>
      <c r="Y847" s="137"/>
      <c r="Z847" s="137"/>
      <c r="AA847" s="137"/>
      <c r="AB847" s="137"/>
      <c r="AC847" s="137"/>
    </row>
    <row r="848" spans="3:29" ht="15.75" customHeight="1">
      <c r="C848" s="63"/>
      <c r="D848" s="63"/>
      <c r="E848" s="63"/>
      <c r="F848" s="63"/>
      <c r="G848" s="63"/>
      <c r="H848" s="63"/>
      <c r="I848" s="63"/>
      <c r="J848" s="63"/>
      <c r="K848" s="63"/>
      <c r="L848" s="63"/>
      <c r="M848" s="168"/>
      <c r="N848" s="63"/>
      <c r="O848" s="64"/>
      <c r="P848" s="64"/>
      <c r="Q848" s="64"/>
      <c r="R848" s="64"/>
      <c r="S848" s="64"/>
      <c r="T848" s="64"/>
      <c r="U848" s="64"/>
      <c r="V848" s="64"/>
      <c r="W848" s="64"/>
      <c r="X848" s="64"/>
      <c r="Y848" s="137"/>
      <c r="Z848" s="137"/>
      <c r="AA848" s="137"/>
      <c r="AB848" s="137"/>
      <c r="AC848" s="137"/>
    </row>
    <row r="849" spans="3:29" ht="15.75" customHeight="1">
      <c r="C849" s="63"/>
      <c r="D849" s="63"/>
      <c r="E849" s="63"/>
      <c r="F849" s="63"/>
      <c r="G849" s="63"/>
      <c r="H849" s="63"/>
      <c r="I849" s="63"/>
      <c r="J849" s="63"/>
      <c r="K849" s="63"/>
      <c r="L849" s="63"/>
      <c r="M849" s="168"/>
      <c r="N849" s="63"/>
      <c r="O849" s="64"/>
      <c r="P849" s="64"/>
      <c r="Q849" s="64"/>
      <c r="R849" s="64"/>
      <c r="S849" s="64"/>
      <c r="T849" s="64"/>
      <c r="U849" s="64"/>
      <c r="V849" s="64"/>
      <c r="W849" s="64"/>
      <c r="X849" s="64"/>
      <c r="Y849" s="137"/>
      <c r="Z849" s="137"/>
      <c r="AA849" s="137"/>
      <c r="AB849" s="137"/>
      <c r="AC849" s="137"/>
    </row>
    <row r="850" spans="3:29" ht="15.75" customHeight="1">
      <c r="C850" s="63"/>
      <c r="D850" s="63"/>
      <c r="E850" s="63"/>
      <c r="F850" s="63"/>
      <c r="G850" s="63"/>
      <c r="H850" s="63"/>
      <c r="I850" s="63"/>
      <c r="J850" s="63"/>
      <c r="K850" s="63"/>
      <c r="L850" s="63"/>
      <c r="M850" s="168"/>
      <c r="N850" s="63"/>
      <c r="O850" s="64"/>
      <c r="P850" s="64"/>
      <c r="Q850" s="64"/>
      <c r="R850" s="64"/>
      <c r="S850" s="64"/>
      <c r="T850" s="64"/>
      <c r="U850" s="64"/>
      <c r="V850" s="64"/>
      <c r="W850" s="64"/>
      <c r="X850" s="64"/>
      <c r="Y850" s="137"/>
      <c r="Z850" s="137"/>
      <c r="AA850" s="137"/>
      <c r="AB850" s="137"/>
      <c r="AC850" s="137"/>
    </row>
    <row r="851" spans="3:29" ht="15.75" customHeight="1">
      <c r="C851" s="63"/>
      <c r="D851" s="63"/>
      <c r="E851" s="63"/>
      <c r="F851" s="63"/>
      <c r="G851" s="63"/>
      <c r="H851" s="63"/>
      <c r="I851" s="63"/>
      <c r="J851" s="63"/>
      <c r="K851" s="63"/>
      <c r="L851" s="63"/>
      <c r="M851" s="168"/>
      <c r="N851" s="63"/>
      <c r="O851" s="64"/>
      <c r="P851" s="64"/>
      <c r="Q851" s="64"/>
      <c r="R851" s="64"/>
      <c r="S851" s="64"/>
      <c r="T851" s="64"/>
      <c r="U851" s="64"/>
      <c r="V851" s="64"/>
      <c r="W851" s="64"/>
      <c r="X851" s="64"/>
      <c r="Y851" s="137"/>
      <c r="Z851" s="137"/>
      <c r="AA851" s="137"/>
      <c r="AB851" s="137"/>
      <c r="AC851" s="137"/>
    </row>
    <row r="852" spans="3:29" ht="15.75" customHeight="1">
      <c r="C852" s="63"/>
      <c r="D852" s="63"/>
      <c r="E852" s="63"/>
      <c r="F852" s="63"/>
      <c r="G852" s="63"/>
      <c r="H852" s="63"/>
      <c r="I852" s="63"/>
      <c r="J852" s="63"/>
      <c r="K852" s="63"/>
      <c r="L852" s="63"/>
      <c r="M852" s="168"/>
      <c r="N852" s="63"/>
      <c r="O852" s="64"/>
      <c r="P852" s="64"/>
      <c r="Q852" s="64"/>
      <c r="R852" s="64"/>
      <c r="S852" s="64"/>
      <c r="T852" s="64"/>
      <c r="U852" s="64"/>
      <c r="V852" s="64"/>
      <c r="W852" s="64"/>
      <c r="X852" s="64"/>
      <c r="Y852" s="137"/>
      <c r="Z852" s="137"/>
      <c r="AA852" s="137"/>
      <c r="AB852" s="137"/>
      <c r="AC852" s="137"/>
    </row>
    <row r="853" spans="3:29" ht="15.75" customHeight="1">
      <c r="C853" s="63"/>
      <c r="D853" s="63"/>
      <c r="E853" s="63"/>
      <c r="F853" s="63"/>
      <c r="G853" s="63"/>
      <c r="H853" s="63"/>
      <c r="I853" s="63"/>
      <c r="J853" s="63"/>
      <c r="K853" s="63"/>
      <c r="L853" s="63"/>
      <c r="M853" s="168"/>
      <c r="N853" s="63"/>
      <c r="O853" s="64"/>
      <c r="P853" s="64"/>
      <c r="Q853" s="64"/>
      <c r="R853" s="64"/>
      <c r="S853" s="64"/>
      <c r="T853" s="64"/>
      <c r="U853" s="64"/>
      <c r="V853" s="64"/>
      <c r="W853" s="64"/>
      <c r="X853" s="64"/>
      <c r="Y853" s="137"/>
      <c r="Z853" s="137"/>
      <c r="AA853" s="137"/>
      <c r="AB853" s="137"/>
      <c r="AC853" s="137"/>
    </row>
    <row r="854" spans="3:29" ht="15.75" customHeight="1">
      <c r="C854" s="63"/>
      <c r="D854" s="63"/>
      <c r="E854" s="63"/>
      <c r="F854" s="63"/>
      <c r="G854" s="63"/>
      <c r="H854" s="63"/>
      <c r="I854" s="63"/>
      <c r="J854" s="63"/>
      <c r="K854" s="63"/>
      <c r="L854" s="63"/>
      <c r="M854" s="168"/>
      <c r="N854" s="63"/>
      <c r="O854" s="64"/>
      <c r="P854" s="64"/>
      <c r="Q854" s="64"/>
      <c r="R854" s="64"/>
      <c r="S854" s="64"/>
      <c r="T854" s="64"/>
      <c r="U854" s="64"/>
      <c r="V854" s="64"/>
      <c r="W854" s="64"/>
      <c r="X854" s="64"/>
      <c r="Y854" s="137"/>
      <c r="Z854" s="137"/>
      <c r="AA854" s="137"/>
      <c r="AB854" s="137"/>
      <c r="AC854" s="137"/>
    </row>
    <row r="855" spans="3:29" ht="15.75" customHeight="1">
      <c r="C855" s="63"/>
      <c r="D855" s="63"/>
      <c r="E855" s="63"/>
      <c r="F855" s="63"/>
      <c r="G855" s="63"/>
      <c r="H855" s="63"/>
      <c r="I855" s="63"/>
      <c r="J855" s="63"/>
      <c r="K855" s="63"/>
      <c r="L855" s="63"/>
      <c r="M855" s="168"/>
      <c r="N855" s="63"/>
      <c r="O855" s="64"/>
      <c r="P855" s="64"/>
      <c r="Q855" s="64"/>
      <c r="R855" s="64"/>
      <c r="S855" s="64"/>
      <c r="T855" s="64"/>
      <c r="U855" s="64"/>
      <c r="V855" s="64"/>
      <c r="W855" s="64"/>
      <c r="X855" s="64"/>
      <c r="Y855" s="137"/>
      <c r="Z855" s="137"/>
      <c r="AA855" s="137"/>
      <c r="AB855" s="137"/>
      <c r="AC855" s="137"/>
    </row>
    <row r="856" spans="3:29" ht="15.75" customHeight="1">
      <c r="C856" s="63"/>
      <c r="D856" s="63"/>
      <c r="E856" s="63"/>
      <c r="F856" s="63"/>
      <c r="G856" s="63"/>
      <c r="H856" s="63"/>
      <c r="I856" s="63"/>
      <c r="J856" s="63"/>
      <c r="K856" s="63"/>
      <c r="L856" s="63"/>
      <c r="M856" s="168"/>
      <c r="N856" s="63"/>
      <c r="O856" s="64"/>
      <c r="P856" s="64"/>
      <c r="Q856" s="64"/>
      <c r="R856" s="64"/>
      <c r="S856" s="64"/>
      <c r="T856" s="64"/>
      <c r="U856" s="64"/>
      <c r="V856" s="64"/>
      <c r="W856" s="64"/>
      <c r="X856" s="64"/>
      <c r="Y856" s="137"/>
      <c r="Z856" s="137"/>
      <c r="AA856" s="137"/>
      <c r="AB856" s="137"/>
      <c r="AC856" s="137"/>
    </row>
    <row r="857" spans="3:29" ht="15.75" customHeight="1">
      <c r="C857" s="63"/>
      <c r="D857" s="63"/>
      <c r="E857" s="63"/>
      <c r="F857" s="63"/>
      <c r="G857" s="63"/>
      <c r="H857" s="63"/>
      <c r="I857" s="63"/>
      <c r="J857" s="63"/>
      <c r="K857" s="63"/>
      <c r="L857" s="63"/>
      <c r="M857" s="168"/>
      <c r="N857" s="63"/>
      <c r="O857" s="64"/>
      <c r="P857" s="64"/>
      <c r="Q857" s="64"/>
      <c r="R857" s="64"/>
      <c r="S857" s="64"/>
      <c r="T857" s="64"/>
      <c r="U857" s="64"/>
      <c r="V857" s="64"/>
      <c r="W857" s="64"/>
      <c r="X857" s="64"/>
      <c r="Y857" s="137"/>
      <c r="Z857" s="137"/>
      <c r="AA857" s="137"/>
      <c r="AB857" s="137"/>
      <c r="AC857" s="137"/>
    </row>
    <row r="858" spans="3:29" ht="15.75" customHeight="1">
      <c r="C858" s="63"/>
      <c r="D858" s="63"/>
      <c r="E858" s="63"/>
      <c r="F858" s="63"/>
      <c r="G858" s="63"/>
      <c r="H858" s="63"/>
      <c r="I858" s="63"/>
      <c r="J858" s="63"/>
      <c r="K858" s="63"/>
      <c r="L858" s="63"/>
      <c r="M858" s="168"/>
      <c r="N858" s="63"/>
      <c r="O858" s="64"/>
      <c r="P858" s="64"/>
      <c r="Q858" s="64"/>
      <c r="R858" s="64"/>
      <c r="S858" s="64"/>
      <c r="T858" s="64"/>
      <c r="U858" s="64"/>
      <c r="V858" s="64"/>
      <c r="W858" s="64"/>
      <c r="X858" s="64"/>
      <c r="Y858" s="137"/>
      <c r="Z858" s="137"/>
      <c r="AA858" s="137"/>
      <c r="AB858" s="137"/>
      <c r="AC858" s="137"/>
    </row>
    <row r="859" spans="3:29" ht="15.75" customHeight="1">
      <c r="C859" s="63"/>
      <c r="D859" s="63"/>
      <c r="E859" s="63"/>
      <c r="F859" s="63"/>
      <c r="G859" s="63"/>
      <c r="H859" s="63"/>
      <c r="I859" s="63"/>
      <c r="J859" s="63"/>
      <c r="K859" s="63"/>
      <c r="L859" s="63"/>
      <c r="M859" s="168"/>
      <c r="N859" s="63"/>
      <c r="O859" s="64"/>
      <c r="P859" s="64"/>
      <c r="Q859" s="64"/>
      <c r="R859" s="64"/>
      <c r="S859" s="64"/>
      <c r="T859" s="64"/>
      <c r="U859" s="64"/>
      <c r="V859" s="64"/>
      <c r="W859" s="64"/>
      <c r="X859" s="64"/>
      <c r="Y859" s="137"/>
      <c r="Z859" s="137"/>
      <c r="AA859" s="137"/>
      <c r="AB859" s="137"/>
      <c r="AC859" s="137"/>
    </row>
    <row r="860" spans="3:29" ht="15.75" customHeight="1">
      <c r="C860" s="63"/>
      <c r="D860" s="63"/>
      <c r="E860" s="63"/>
      <c r="F860" s="63"/>
      <c r="G860" s="63"/>
      <c r="H860" s="63"/>
      <c r="I860" s="63"/>
      <c r="J860" s="63"/>
      <c r="K860" s="63"/>
      <c r="L860" s="63"/>
      <c r="M860" s="168"/>
      <c r="N860" s="63"/>
      <c r="O860" s="64"/>
      <c r="P860" s="64"/>
      <c r="Q860" s="64"/>
      <c r="R860" s="64"/>
      <c r="S860" s="64"/>
      <c r="T860" s="64"/>
      <c r="U860" s="64"/>
      <c r="V860" s="64"/>
      <c r="W860" s="64"/>
      <c r="X860" s="64"/>
      <c r="Y860" s="137"/>
      <c r="Z860" s="137"/>
      <c r="AA860" s="137"/>
      <c r="AB860" s="137"/>
      <c r="AC860" s="137"/>
    </row>
    <row r="861" spans="3:29" ht="15.75" customHeight="1">
      <c r="C861" s="63"/>
      <c r="D861" s="63"/>
      <c r="E861" s="63"/>
      <c r="F861" s="63"/>
      <c r="G861" s="63"/>
      <c r="H861" s="63"/>
      <c r="I861" s="63"/>
      <c r="J861" s="63"/>
      <c r="K861" s="63"/>
      <c r="L861" s="63"/>
      <c r="M861" s="168"/>
      <c r="N861" s="63"/>
      <c r="O861" s="64"/>
      <c r="P861" s="64"/>
      <c r="Q861" s="64"/>
      <c r="R861" s="64"/>
      <c r="S861" s="64"/>
      <c r="T861" s="64"/>
      <c r="U861" s="64"/>
      <c r="V861" s="64"/>
      <c r="W861" s="64"/>
      <c r="X861" s="64"/>
      <c r="Y861" s="137"/>
      <c r="Z861" s="137"/>
      <c r="AA861" s="137"/>
      <c r="AB861" s="137"/>
      <c r="AC861" s="137"/>
    </row>
    <row r="862" spans="3:29" ht="15.75" customHeight="1">
      <c r="C862" s="63"/>
      <c r="D862" s="63"/>
      <c r="E862" s="63"/>
      <c r="F862" s="63"/>
      <c r="G862" s="63"/>
      <c r="H862" s="63"/>
      <c r="I862" s="63"/>
      <c r="J862" s="63"/>
      <c r="K862" s="63"/>
      <c r="L862" s="63"/>
      <c r="M862" s="168"/>
      <c r="N862" s="63"/>
      <c r="O862" s="64"/>
      <c r="P862" s="64"/>
      <c r="Q862" s="64"/>
      <c r="R862" s="64"/>
      <c r="S862" s="64"/>
      <c r="T862" s="64"/>
      <c r="U862" s="64"/>
      <c r="V862" s="64"/>
      <c r="W862" s="64"/>
      <c r="X862" s="64"/>
      <c r="Y862" s="137"/>
      <c r="Z862" s="137"/>
      <c r="AA862" s="137"/>
      <c r="AB862" s="137"/>
      <c r="AC862" s="137"/>
    </row>
    <row r="863" spans="3:29" ht="15.75" customHeight="1">
      <c r="C863" s="63"/>
      <c r="D863" s="63"/>
      <c r="E863" s="63"/>
      <c r="F863" s="63"/>
      <c r="G863" s="63"/>
      <c r="H863" s="63"/>
      <c r="I863" s="63"/>
      <c r="J863" s="63"/>
      <c r="K863" s="63"/>
      <c r="L863" s="63"/>
      <c r="M863" s="168"/>
      <c r="N863" s="63"/>
      <c r="O863" s="64"/>
      <c r="P863" s="64"/>
      <c r="Q863" s="64"/>
      <c r="R863" s="64"/>
      <c r="S863" s="64"/>
      <c r="T863" s="64"/>
      <c r="U863" s="64"/>
      <c r="V863" s="64"/>
      <c r="W863" s="64"/>
      <c r="X863" s="64"/>
      <c r="Y863" s="137"/>
      <c r="Z863" s="137"/>
      <c r="AA863" s="137"/>
      <c r="AB863" s="137"/>
      <c r="AC863" s="137"/>
    </row>
    <row r="864" spans="3:29" ht="15.75" customHeight="1">
      <c r="C864" s="63"/>
      <c r="D864" s="63"/>
      <c r="E864" s="63"/>
      <c r="F864" s="63"/>
      <c r="G864" s="63"/>
      <c r="H864" s="63"/>
      <c r="I864" s="63"/>
      <c r="J864" s="63"/>
      <c r="K864" s="63"/>
      <c r="L864" s="63"/>
      <c r="M864" s="168"/>
      <c r="N864" s="63"/>
      <c r="O864" s="64"/>
      <c r="P864" s="64"/>
      <c r="Q864" s="64"/>
      <c r="R864" s="64"/>
      <c r="S864" s="64"/>
      <c r="T864" s="64"/>
      <c r="U864" s="64"/>
      <c r="V864" s="64"/>
      <c r="W864" s="64"/>
      <c r="X864" s="64"/>
      <c r="Y864" s="137"/>
      <c r="Z864" s="137"/>
      <c r="AA864" s="137"/>
      <c r="AB864" s="137"/>
      <c r="AC864" s="137"/>
    </row>
    <row r="865" spans="3:29" ht="15.75" customHeight="1">
      <c r="C865" s="63"/>
      <c r="D865" s="63"/>
      <c r="E865" s="63"/>
      <c r="F865" s="63"/>
      <c r="G865" s="63"/>
      <c r="H865" s="63"/>
      <c r="I865" s="63"/>
      <c r="J865" s="63"/>
      <c r="K865" s="63"/>
      <c r="L865" s="63"/>
      <c r="M865" s="168"/>
      <c r="N865" s="63"/>
      <c r="O865" s="64"/>
      <c r="P865" s="64"/>
      <c r="Q865" s="64"/>
      <c r="R865" s="64"/>
      <c r="S865" s="64"/>
      <c r="T865" s="64"/>
      <c r="U865" s="64"/>
      <c r="V865" s="64"/>
      <c r="W865" s="64"/>
      <c r="X865" s="64"/>
      <c r="Y865" s="137"/>
      <c r="Z865" s="137"/>
      <c r="AA865" s="137"/>
      <c r="AB865" s="137"/>
      <c r="AC865" s="137"/>
    </row>
    <row r="866" spans="3:29" ht="15.75" customHeight="1">
      <c r="C866" s="63"/>
      <c r="D866" s="63"/>
      <c r="E866" s="63"/>
      <c r="F866" s="63"/>
      <c r="G866" s="63"/>
      <c r="H866" s="63"/>
      <c r="I866" s="63"/>
      <c r="J866" s="63"/>
      <c r="K866" s="63"/>
      <c r="L866" s="63"/>
      <c r="M866" s="168"/>
      <c r="N866" s="63"/>
      <c r="O866" s="64"/>
      <c r="P866" s="64"/>
      <c r="Q866" s="64"/>
      <c r="R866" s="64"/>
      <c r="S866" s="64"/>
      <c r="T866" s="64"/>
      <c r="U866" s="64"/>
      <c r="V866" s="64"/>
      <c r="W866" s="64"/>
      <c r="X866" s="64"/>
      <c r="Y866" s="137"/>
      <c r="Z866" s="137"/>
      <c r="AA866" s="137"/>
      <c r="AB866" s="137"/>
      <c r="AC866" s="137"/>
    </row>
    <row r="867" spans="3:29" ht="15.75" customHeight="1">
      <c r="C867" s="63"/>
      <c r="D867" s="63"/>
      <c r="E867" s="63"/>
      <c r="F867" s="63"/>
      <c r="G867" s="63"/>
      <c r="H867" s="63"/>
      <c r="I867" s="63"/>
      <c r="J867" s="63"/>
      <c r="K867" s="63"/>
      <c r="L867" s="63"/>
      <c r="M867" s="168"/>
      <c r="N867" s="63"/>
      <c r="O867" s="64"/>
      <c r="P867" s="64"/>
      <c r="Q867" s="64"/>
      <c r="R867" s="64"/>
      <c r="S867" s="64"/>
      <c r="T867" s="64"/>
      <c r="U867" s="64"/>
      <c r="V867" s="64"/>
      <c r="W867" s="64"/>
      <c r="X867" s="64"/>
      <c r="Y867" s="137"/>
      <c r="Z867" s="137"/>
      <c r="AA867" s="137"/>
      <c r="AB867" s="137"/>
      <c r="AC867" s="137"/>
    </row>
    <row r="868" spans="3:29" ht="15.75" customHeight="1">
      <c r="C868" s="63"/>
      <c r="D868" s="63"/>
      <c r="E868" s="63"/>
      <c r="F868" s="63"/>
      <c r="G868" s="63"/>
      <c r="H868" s="63"/>
      <c r="I868" s="63"/>
      <c r="J868" s="63"/>
      <c r="K868" s="63"/>
      <c r="L868" s="63"/>
      <c r="M868" s="168"/>
      <c r="N868" s="63"/>
      <c r="O868" s="64"/>
      <c r="P868" s="64"/>
      <c r="Q868" s="64"/>
      <c r="R868" s="64"/>
      <c r="S868" s="64"/>
      <c r="T868" s="64"/>
      <c r="U868" s="64"/>
      <c r="V868" s="64"/>
      <c r="W868" s="64"/>
      <c r="X868" s="64"/>
      <c r="Y868" s="137"/>
      <c r="Z868" s="137"/>
      <c r="AA868" s="137"/>
      <c r="AB868" s="137"/>
      <c r="AC868" s="137"/>
    </row>
    <row r="869" spans="3:29" ht="15.75" customHeight="1">
      <c r="C869" s="63"/>
      <c r="D869" s="63"/>
      <c r="E869" s="63"/>
      <c r="F869" s="63"/>
      <c r="G869" s="63"/>
      <c r="H869" s="63"/>
      <c r="I869" s="63"/>
      <c r="J869" s="63"/>
      <c r="K869" s="63"/>
      <c r="L869" s="63"/>
      <c r="M869" s="168"/>
      <c r="N869" s="63"/>
      <c r="O869" s="64"/>
      <c r="P869" s="64"/>
      <c r="Q869" s="64"/>
      <c r="R869" s="64"/>
      <c r="S869" s="64"/>
      <c r="T869" s="64"/>
      <c r="U869" s="64"/>
      <c r="V869" s="64"/>
      <c r="W869" s="64"/>
      <c r="X869" s="64"/>
      <c r="Y869" s="137"/>
      <c r="Z869" s="137"/>
      <c r="AA869" s="137"/>
      <c r="AB869" s="137"/>
      <c r="AC869" s="137"/>
    </row>
    <row r="870" spans="3:29" ht="15.75" customHeight="1">
      <c r="C870" s="63"/>
      <c r="D870" s="63"/>
      <c r="E870" s="63"/>
      <c r="F870" s="63"/>
      <c r="G870" s="63"/>
      <c r="H870" s="63"/>
      <c r="I870" s="63"/>
      <c r="J870" s="63"/>
      <c r="K870" s="63"/>
      <c r="L870" s="63"/>
      <c r="M870" s="168"/>
      <c r="N870" s="63"/>
      <c r="O870" s="64"/>
      <c r="P870" s="64"/>
      <c r="Q870" s="64"/>
      <c r="R870" s="64"/>
      <c r="S870" s="64"/>
      <c r="T870" s="64"/>
      <c r="U870" s="64"/>
      <c r="V870" s="64"/>
      <c r="W870" s="64"/>
      <c r="X870" s="64"/>
      <c r="Y870" s="137"/>
      <c r="Z870" s="137"/>
      <c r="AA870" s="137"/>
      <c r="AB870" s="137"/>
      <c r="AC870" s="137"/>
    </row>
    <row r="871" spans="3:29" ht="15.75" customHeight="1">
      <c r="C871" s="63"/>
      <c r="D871" s="63"/>
      <c r="E871" s="63"/>
      <c r="F871" s="63"/>
      <c r="G871" s="63"/>
      <c r="H871" s="63"/>
      <c r="I871" s="63"/>
      <c r="J871" s="63"/>
      <c r="K871" s="63"/>
      <c r="L871" s="63"/>
      <c r="M871" s="168"/>
      <c r="N871" s="63"/>
      <c r="O871" s="64"/>
      <c r="P871" s="64"/>
      <c r="Q871" s="64"/>
      <c r="R871" s="64"/>
      <c r="S871" s="64"/>
      <c r="T871" s="64"/>
      <c r="U871" s="64"/>
      <c r="V871" s="64"/>
      <c r="W871" s="64"/>
      <c r="X871" s="64"/>
      <c r="Y871" s="137"/>
      <c r="Z871" s="137"/>
      <c r="AA871" s="137"/>
      <c r="AB871" s="137"/>
      <c r="AC871" s="137"/>
    </row>
    <row r="872" spans="3:29" ht="15.75" customHeight="1">
      <c r="C872" s="63"/>
      <c r="D872" s="63"/>
      <c r="E872" s="63"/>
      <c r="F872" s="63"/>
      <c r="G872" s="63"/>
      <c r="H872" s="63"/>
      <c r="I872" s="63"/>
      <c r="J872" s="63"/>
      <c r="K872" s="63"/>
      <c r="L872" s="63"/>
      <c r="M872" s="168"/>
      <c r="N872" s="63"/>
      <c r="O872" s="64"/>
      <c r="P872" s="64"/>
      <c r="Q872" s="64"/>
      <c r="R872" s="64"/>
      <c r="S872" s="64"/>
      <c r="T872" s="64"/>
      <c r="U872" s="64"/>
      <c r="V872" s="64"/>
      <c r="W872" s="64"/>
      <c r="X872" s="64"/>
      <c r="Y872" s="137"/>
      <c r="Z872" s="137"/>
      <c r="AA872" s="137"/>
      <c r="AB872" s="137"/>
      <c r="AC872" s="137"/>
    </row>
    <row r="873" spans="3:29" ht="15.75" customHeight="1">
      <c r="C873" s="63"/>
      <c r="D873" s="63"/>
      <c r="E873" s="63"/>
      <c r="F873" s="63"/>
      <c r="G873" s="63"/>
      <c r="H873" s="63"/>
      <c r="I873" s="63"/>
      <c r="J873" s="63"/>
      <c r="K873" s="63"/>
      <c r="L873" s="63"/>
      <c r="M873" s="168"/>
      <c r="N873" s="63"/>
      <c r="O873" s="64"/>
      <c r="P873" s="64"/>
      <c r="Q873" s="64"/>
      <c r="R873" s="64"/>
      <c r="S873" s="64"/>
      <c r="T873" s="64"/>
      <c r="U873" s="64"/>
      <c r="V873" s="64"/>
      <c r="W873" s="64"/>
      <c r="X873" s="64"/>
      <c r="Y873" s="137"/>
      <c r="Z873" s="137"/>
      <c r="AA873" s="137"/>
      <c r="AB873" s="137"/>
      <c r="AC873" s="137"/>
    </row>
    <row r="874" spans="3:29" ht="15.75" customHeight="1">
      <c r="C874" s="63"/>
      <c r="D874" s="63"/>
      <c r="E874" s="63"/>
      <c r="F874" s="63"/>
      <c r="G874" s="63"/>
      <c r="H874" s="63"/>
      <c r="I874" s="63"/>
      <c r="J874" s="63"/>
      <c r="K874" s="63"/>
      <c r="L874" s="63"/>
      <c r="M874" s="168"/>
      <c r="N874" s="63"/>
      <c r="O874" s="64"/>
      <c r="P874" s="64"/>
      <c r="Q874" s="64"/>
      <c r="R874" s="64"/>
      <c r="S874" s="64"/>
      <c r="T874" s="64"/>
      <c r="U874" s="64"/>
      <c r="V874" s="64"/>
      <c r="W874" s="64"/>
      <c r="X874" s="64"/>
      <c r="Y874" s="137"/>
      <c r="Z874" s="137"/>
      <c r="AA874" s="137"/>
      <c r="AB874" s="137"/>
      <c r="AC874" s="137"/>
    </row>
    <row r="875" spans="3:29" ht="15.75" customHeight="1">
      <c r="C875" s="63"/>
      <c r="D875" s="63"/>
      <c r="E875" s="63"/>
      <c r="F875" s="63"/>
      <c r="G875" s="63"/>
      <c r="H875" s="63"/>
      <c r="I875" s="63"/>
      <c r="J875" s="63"/>
      <c r="K875" s="63"/>
      <c r="L875" s="63"/>
      <c r="M875" s="168"/>
      <c r="N875" s="63"/>
      <c r="O875" s="64"/>
      <c r="P875" s="64"/>
      <c r="Q875" s="64"/>
      <c r="R875" s="64"/>
      <c r="S875" s="64"/>
      <c r="T875" s="64"/>
      <c r="U875" s="64"/>
      <c r="V875" s="64"/>
      <c r="W875" s="64"/>
      <c r="X875" s="64"/>
      <c r="Y875" s="137"/>
      <c r="Z875" s="137"/>
      <c r="AA875" s="137"/>
      <c r="AB875" s="137"/>
      <c r="AC875" s="137"/>
    </row>
    <row r="876" spans="3:29" ht="15.75" customHeight="1">
      <c r="C876" s="63"/>
      <c r="D876" s="63"/>
      <c r="E876" s="63"/>
      <c r="F876" s="63"/>
      <c r="G876" s="63"/>
      <c r="H876" s="63"/>
      <c r="I876" s="63"/>
      <c r="J876" s="63"/>
      <c r="K876" s="63"/>
      <c r="L876" s="63"/>
      <c r="M876" s="168"/>
      <c r="N876" s="63"/>
      <c r="O876" s="64"/>
      <c r="P876" s="64"/>
      <c r="Q876" s="64"/>
      <c r="R876" s="64"/>
      <c r="S876" s="64"/>
      <c r="T876" s="64"/>
      <c r="U876" s="64"/>
      <c r="V876" s="64"/>
      <c r="W876" s="64"/>
      <c r="X876" s="64"/>
      <c r="Y876" s="137"/>
      <c r="Z876" s="137"/>
      <c r="AA876" s="137"/>
      <c r="AB876" s="137"/>
      <c r="AC876" s="137"/>
    </row>
    <row r="877" spans="3:29" ht="15.75" customHeight="1">
      <c r="C877" s="63"/>
      <c r="D877" s="63"/>
      <c r="E877" s="63"/>
      <c r="F877" s="63"/>
      <c r="G877" s="63"/>
      <c r="H877" s="63"/>
      <c r="I877" s="63"/>
      <c r="J877" s="63"/>
      <c r="K877" s="63"/>
      <c r="L877" s="63"/>
      <c r="M877" s="168"/>
      <c r="N877" s="63"/>
      <c r="O877" s="64"/>
      <c r="P877" s="64"/>
      <c r="Q877" s="64"/>
      <c r="R877" s="64"/>
      <c r="S877" s="64"/>
      <c r="T877" s="64"/>
      <c r="U877" s="64"/>
      <c r="V877" s="64"/>
      <c r="W877" s="64"/>
      <c r="X877" s="64"/>
      <c r="Y877" s="137"/>
      <c r="Z877" s="137"/>
      <c r="AA877" s="137"/>
      <c r="AB877" s="137"/>
      <c r="AC877" s="137"/>
    </row>
    <row r="878" spans="3:29" ht="15.75" customHeight="1">
      <c r="C878" s="63"/>
      <c r="D878" s="63"/>
      <c r="E878" s="63"/>
      <c r="F878" s="63"/>
      <c r="G878" s="63"/>
      <c r="H878" s="63"/>
      <c r="I878" s="63"/>
      <c r="J878" s="63"/>
      <c r="K878" s="63"/>
      <c r="L878" s="63"/>
      <c r="M878" s="168"/>
      <c r="N878" s="63"/>
      <c r="O878" s="64"/>
      <c r="P878" s="64"/>
      <c r="Q878" s="64"/>
      <c r="R878" s="64"/>
      <c r="S878" s="64"/>
      <c r="T878" s="64"/>
      <c r="U878" s="64"/>
      <c r="V878" s="64"/>
      <c r="W878" s="64"/>
      <c r="X878" s="64"/>
      <c r="Y878" s="137"/>
      <c r="Z878" s="137"/>
      <c r="AA878" s="137"/>
      <c r="AB878" s="137"/>
      <c r="AC878" s="137"/>
    </row>
    <row r="879" spans="3:29" ht="15.75" customHeight="1">
      <c r="C879" s="63"/>
      <c r="D879" s="63"/>
      <c r="E879" s="63"/>
      <c r="F879" s="63"/>
      <c r="G879" s="63"/>
      <c r="H879" s="63"/>
      <c r="I879" s="63"/>
      <c r="J879" s="63"/>
      <c r="K879" s="63"/>
      <c r="L879" s="63"/>
      <c r="M879" s="168"/>
      <c r="N879" s="63"/>
      <c r="O879" s="64"/>
      <c r="P879" s="64"/>
      <c r="Q879" s="64"/>
      <c r="R879" s="64"/>
      <c r="S879" s="64"/>
      <c r="T879" s="64"/>
      <c r="U879" s="64"/>
      <c r="V879" s="64"/>
      <c r="W879" s="64"/>
      <c r="X879" s="64"/>
      <c r="Y879" s="137"/>
      <c r="Z879" s="137"/>
      <c r="AA879" s="137"/>
      <c r="AB879" s="137"/>
      <c r="AC879" s="137"/>
    </row>
    <row r="880" spans="3:29" ht="15.75" customHeight="1">
      <c r="C880" s="63"/>
      <c r="D880" s="63"/>
      <c r="E880" s="63"/>
      <c r="F880" s="63"/>
      <c r="G880" s="63"/>
      <c r="H880" s="63"/>
      <c r="I880" s="63"/>
      <c r="J880" s="63"/>
      <c r="K880" s="63"/>
      <c r="L880" s="63"/>
      <c r="M880" s="168"/>
      <c r="N880" s="63"/>
      <c r="O880" s="64"/>
      <c r="P880" s="64"/>
      <c r="Q880" s="64"/>
      <c r="R880" s="64"/>
      <c r="S880" s="64"/>
      <c r="T880" s="64"/>
      <c r="U880" s="64"/>
      <c r="V880" s="64"/>
      <c r="W880" s="64"/>
      <c r="X880" s="64"/>
      <c r="Y880" s="137"/>
      <c r="Z880" s="137"/>
      <c r="AA880" s="137"/>
      <c r="AB880" s="137"/>
      <c r="AC880" s="137"/>
    </row>
    <row r="881" spans="3:29" ht="15.75" customHeight="1">
      <c r="C881" s="63"/>
      <c r="D881" s="63"/>
      <c r="E881" s="63"/>
      <c r="F881" s="63"/>
      <c r="G881" s="63"/>
      <c r="H881" s="63"/>
      <c r="I881" s="63"/>
      <c r="J881" s="63"/>
      <c r="K881" s="63"/>
      <c r="L881" s="63"/>
      <c r="M881" s="168"/>
      <c r="N881" s="63"/>
      <c r="O881" s="64"/>
      <c r="P881" s="64"/>
      <c r="Q881" s="64"/>
      <c r="R881" s="64"/>
      <c r="S881" s="64"/>
      <c r="T881" s="64"/>
      <c r="U881" s="64"/>
      <c r="V881" s="64"/>
      <c r="W881" s="64"/>
      <c r="X881" s="64"/>
      <c r="Y881" s="137"/>
      <c r="Z881" s="137"/>
      <c r="AA881" s="137"/>
      <c r="AB881" s="137"/>
      <c r="AC881" s="137"/>
    </row>
    <row r="882" spans="3:29" ht="15.75" customHeight="1">
      <c r="C882" s="63"/>
      <c r="D882" s="63"/>
      <c r="E882" s="63"/>
      <c r="F882" s="63"/>
      <c r="G882" s="63"/>
      <c r="H882" s="63"/>
      <c r="I882" s="63"/>
      <c r="J882" s="63"/>
      <c r="K882" s="63"/>
      <c r="L882" s="63"/>
      <c r="M882" s="168"/>
      <c r="N882" s="63"/>
      <c r="O882" s="64"/>
      <c r="P882" s="64"/>
      <c r="Q882" s="64"/>
      <c r="R882" s="64"/>
      <c r="S882" s="64"/>
      <c r="T882" s="64"/>
      <c r="U882" s="64"/>
      <c r="V882" s="64"/>
      <c r="W882" s="64"/>
      <c r="X882" s="64"/>
      <c r="Y882" s="137"/>
      <c r="Z882" s="137"/>
      <c r="AA882" s="137"/>
      <c r="AB882" s="137"/>
      <c r="AC882" s="137"/>
    </row>
    <row r="883" spans="3:29" ht="15.75" customHeight="1">
      <c r="C883" s="63"/>
      <c r="D883" s="63"/>
      <c r="E883" s="63"/>
      <c r="F883" s="63"/>
      <c r="G883" s="63"/>
      <c r="H883" s="63"/>
      <c r="I883" s="63"/>
      <c r="J883" s="63"/>
      <c r="K883" s="63"/>
      <c r="L883" s="63"/>
      <c r="M883" s="168"/>
      <c r="N883" s="63"/>
      <c r="O883" s="64"/>
      <c r="P883" s="64"/>
      <c r="Q883" s="64"/>
      <c r="R883" s="64"/>
      <c r="S883" s="64"/>
      <c r="T883" s="64"/>
      <c r="U883" s="64"/>
      <c r="V883" s="64"/>
      <c r="W883" s="64"/>
      <c r="X883" s="64"/>
      <c r="Y883" s="137"/>
      <c r="Z883" s="137"/>
      <c r="AA883" s="137"/>
      <c r="AB883" s="137"/>
      <c r="AC883" s="137"/>
    </row>
    <row r="884" spans="3:29" ht="15.75" customHeight="1">
      <c r="C884" s="63"/>
      <c r="D884" s="63"/>
      <c r="E884" s="63"/>
      <c r="F884" s="63"/>
      <c r="G884" s="63"/>
      <c r="H884" s="63"/>
      <c r="I884" s="63"/>
      <c r="J884" s="63"/>
      <c r="K884" s="63"/>
      <c r="L884" s="63"/>
      <c r="M884" s="168"/>
      <c r="N884" s="63"/>
      <c r="O884" s="64"/>
      <c r="P884" s="64"/>
      <c r="Q884" s="64"/>
      <c r="R884" s="64"/>
      <c r="S884" s="64"/>
      <c r="T884" s="64"/>
      <c r="U884" s="64"/>
      <c r="V884" s="64"/>
      <c r="W884" s="64"/>
      <c r="X884" s="64"/>
      <c r="Y884" s="137"/>
      <c r="Z884" s="137"/>
      <c r="AA884" s="137"/>
      <c r="AB884" s="137"/>
      <c r="AC884" s="137"/>
    </row>
    <row r="885" spans="3:29" ht="15.75" customHeight="1">
      <c r="C885" s="63"/>
      <c r="D885" s="63"/>
      <c r="E885" s="63"/>
      <c r="F885" s="63"/>
      <c r="G885" s="63"/>
      <c r="H885" s="63"/>
      <c r="I885" s="63"/>
      <c r="J885" s="63"/>
      <c r="K885" s="63"/>
      <c r="L885" s="63"/>
      <c r="M885" s="168"/>
      <c r="N885" s="63"/>
      <c r="O885" s="64"/>
      <c r="P885" s="64"/>
      <c r="Q885" s="64"/>
      <c r="R885" s="64"/>
      <c r="S885" s="64"/>
      <c r="T885" s="64"/>
      <c r="U885" s="64"/>
      <c r="V885" s="64"/>
      <c r="W885" s="64"/>
      <c r="X885" s="64"/>
      <c r="Y885" s="137"/>
      <c r="Z885" s="137"/>
      <c r="AA885" s="137"/>
      <c r="AB885" s="137"/>
      <c r="AC885" s="137"/>
    </row>
    <row r="886" spans="3:29" ht="15.75" customHeight="1">
      <c r="C886" s="63"/>
      <c r="D886" s="63"/>
      <c r="E886" s="63"/>
      <c r="F886" s="63"/>
      <c r="G886" s="63"/>
      <c r="H886" s="63"/>
      <c r="I886" s="63"/>
      <c r="J886" s="63"/>
      <c r="K886" s="63"/>
      <c r="L886" s="63"/>
      <c r="M886" s="168"/>
      <c r="N886" s="63"/>
      <c r="O886" s="64"/>
      <c r="P886" s="64"/>
      <c r="Q886" s="64"/>
      <c r="R886" s="64"/>
      <c r="S886" s="64"/>
      <c r="T886" s="64"/>
      <c r="U886" s="64"/>
      <c r="V886" s="64"/>
      <c r="W886" s="64"/>
      <c r="X886" s="64"/>
      <c r="Y886" s="137"/>
      <c r="Z886" s="137"/>
      <c r="AA886" s="137"/>
      <c r="AB886" s="137"/>
      <c r="AC886" s="137"/>
    </row>
    <row r="887" spans="3:29" ht="15.75" customHeight="1">
      <c r="C887" s="63"/>
      <c r="D887" s="63"/>
      <c r="E887" s="63"/>
      <c r="F887" s="63"/>
      <c r="G887" s="63"/>
      <c r="H887" s="63"/>
      <c r="I887" s="63"/>
      <c r="J887" s="63"/>
      <c r="K887" s="63"/>
      <c r="L887" s="63"/>
      <c r="M887" s="168"/>
      <c r="N887" s="63"/>
      <c r="O887" s="64"/>
      <c r="P887" s="64"/>
      <c r="Q887" s="64"/>
      <c r="R887" s="64"/>
      <c r="S887" s="64"/>
      <c r="T887" s="64"/>
      <c r="U887" s="64"/>
      <c r="V887" s="64"/>
      <c r="W887" s="64"/>
      <c r="X887" s="64"/>
      <c r="Y887" s="137"/>
      <c r="Z887" s="137"/>
      <c r="AA887" s="137"/>
      <c r="AB887" s="137"/>
      <c r="AC887" s="137"/>
    </row>
    <row r="888" spans="3:29" ht="15.75" customHeight="1">
      <c r="C888" s="63"/>
      <c r="D888" s="63"/>
      <c r="E888" s="63"/>
      <c r="F888" s="63"/>
      <c r="G888" s="63"/>
      <c r="H888" s="63"/>
      <c r="I888" s="63"/>
      <c r="J888" s="63"/>
      <c r="K888" s="63"/>
      <c r="L888" s="63"/>
      <c r="M888" s="168"/>
      <c r="N888" s="63"/>
      <c r="O888" s="64"/>
      <c r="P888" s="64"/>
      <c r="Q888" s="64"/>
      <c r="R888" s="64"/>
      <c r="S888" s="64"/>
      <c r="T888" s="64"/>
      <c r="U888" s="64"/>
      <c r="V888" s="64"/>
      <c r="W888" s="64"/>
      <c r="X888" s="64"/>
      <c r="Y888" s="137"/>
      <c r="Z888" s="137"/>
      <c r="AA888" s="137"/>
      <c r="AB888" s="137"/>
      <c r="AC888" s="137"/>
    </row>
    <row r="889" spans="3:29" ht="15.75" customHeight="1">
      <c r="C889" s="63"/>
      <c r="D889" s="63"/>
      <c r="E889" s="63"/>
      <c r="F889" s="63"/>
      <c r="G889" s="63"/>
      <c r="H889" s="63"/>
      <c r="I889" s="63"/>
      <c r="J889" s="63"/>
      <c r="K889" s="63"/>
      <c r="L889" s="63"/>
      <c r="M889" s="168"/>
      <c r="N889" s="63"/>
      <c r="O889" s="64"/>
      <c r="P889" s="64"/>
      <c r="Q889" s="64"/>
      <c r="R889" s="64"/>
      <c r="S889" s="64"/>
      <c r="T889" s="64"/>
      <c r="U889" s="64"/>
      <c r="V889" s="64"/>
      <c r="W889" s="64"/>
      <c r="X889" s="64"/>
      <c r="Y889" s="137"/>
      <c r="Z889" s="137"/>
      <c r="AA889" s="137"/>
      <c r="AB889" s="137"/>
      <c r="AC889" s="137"/>
    </row>
    <row r="890" spans="3:29" ht="15.75" customHeight="1">
      <c r="C890" s="63"/>
      <c r="D890" s="63"/>
      <c r="E890" s="63"/>
      <c r="F890" s="63"/>
      <c r="G890" s="63"/>
      <c r="H890" s="63"/>
      <c r="I890" s="63"/>
      <c r="J890" s="63"/>
      <c r="K890" s="63"/>
      <c r="L890" s="63"/>
      <c r="M890" s="168"/>
      <c r="N890" s="63"/>
      <c r="O890" s="64"/>
      <c r="P890" s="64"/>
      <c r="Q890" s="64"/>
      <c r="R890" s="64"/>
      <c r="S890" s="64"/>
      <c r="T890" s="64"/>
      <c r="U890" s="64"/>
      <c r="V890" s="64"/>
      <c r="W890" s="64"/>
      <c r="X890" s="64"/>
      <c r="Y890" s="137"/>
      <c r="Z890" s="137"/>
      <c r="AA890" s="137"/>
      <c r="AB890" s="137"/>
      <c r="AC890" s="137"/>
    </row>
    <row r="891" spans="3:29" ht="15.75" customHeight="1">
      <c r="C891" s="63"/>
      <c r="D891" s="63"/>
      <c r="E891" s="63"/>
      <c r="F891" s="63"/>
      <c r="G891" s="63"/>
      <c r="H891" s="63"/>
      <c r="I891" s="63"/>
      <c r="J891" s="63"/>
      <c r="K891" s="63"/>
      <c r="L891" s="63"/>
      <c r="M891" s="168"/>
      <c r="N891" s="63"/>
      <c r="O891" s="64"/>
      <c r="P891" s="64"/>
      <c r="Q891" s="64"/>
      <c r="R891" s="64"/>
      <c r="S891" s="64"/>
      <c r="T891" s="64"/>
      <c r="U891" s="64"/>
      <c r="V891" s="64"/>
      <c r="W891" s="64"/>
      <c r="X891" s="64"/>
      <c r="Y891" s="137"/>
      <c r="Z891" s="137"/>
      <c r="AA891" s="137"/>
      <c r="AB891" s="137"/>
      <c r="AC891" s="137"/>
    </row>
    <row r="892" spans="3:29" ht="15.75" customHeight="1">
      <c r="C892" s="63"/>
      <c r="D892" s="63"/>
      <c r="E892" s="63"/>
      <c r="F892" s="63"/>
      <c r="G892" s="63"/>
      <c r="H892" s="63"/>
      <c r="I892" s="63"/>
      <c r="J892" s="63"/>
      <c r="K892" s="63"/>
      <c r="L892" s="63"/>
      <c r="M892" s="168"/>
      <c r="N892" s="63"/>
      <c r="O892" s="64"/>
      <c r="P892" s="64"/>
      <c r="Q892" s="64"/>
      <c r="R892" s="64"/>
      <c r="S892" s="64"/>
      <c r="T892" s="64"/>
      <c r="U892" s="64"/>
      <c r="V892" s="64"/>
      <c r="W892" s="64"/>
      <c r="X892" s="64"/>
      <c r="Y892" s="137"/>
      <c r="Z892" s="137"/>
      <c r="AA892" s="137"/>
      <c r="AB892" s="137"/>
      <c r="AC892" s="137"/>
    </row>
    <row r="893" spans="3:29" ht="15.75" customHeight="1">
      <c r="C893" s="63"/>
      <c r="D893" s="63"/>
      <c r="E893" s="63"/>
      <c r="F893" s="63"/>
      <c r="G893" s="63"/>
      <c r="H893" s="63"/>
      <c r="I893" s="63"/>
      <c r="J893" s="63"/>
      <c r="K893" s="63"/>
      <c r="L893" s="63"/>
      <c r="M893" s="168"/>
      <c r="N893" s="63"/>
      <c r="O893" s="64"/>
      <c r="P893" s="64"/>
      <c r="Q893" s="64"/>
      <c r="R893" s="64"/>
      <c r="S893" s="64"/>
      <c r="T893" s="64"/>
      <c r="U893" s="64"/>
      <c r="V893" s="64"/>
      <c r="W893" s="64"/>
      <c r="X893" s="64"/>
      <c r="Y893" s="137"/>
      <c r="Z893" s="137"/>
      <c r="AA893" s="137"/>
      <c r="AB893" s="137"/>
      <c r="AC893" s="137"/>
    </row>
    <row r="894" spans="3:29" ht="15.75" customHeight="1">
      <c r="C894" s="63"/>
      <c r="D894" s="63"/>
      <c r="E894" s="63"/>
      <c r="F894" s="63"/>
      <c r="G894" s="63"/>
      <c r="H894" s="63"/>
      <c r="I894" s="63"/>
      <c r="J894" s="63"/>
      <c r="K894" s="63"/>
      <c r="L894" s="63"/>
      <c r="M894" s="168"/>
      <c r="N894" s="63"/>
      <c r="O894" s="64"/>
      <c r="P894" s="64"/>
      <c r="Q894" s="64"/>
      <c r="R894" s="64"/>
      <c r="S894" s="64"/>
      <c r="T894" s="64"/>
      <c r="U894" s="64"/>
      <c r="V894" s="64"/>
      <c r="W894" s="64"/>
      <c r="X894" s="64"/>
      <c r="Y894" s="137"/>
      <c r="Z894" s="137"/>
      <c r="AA894" s="137"/>
      <c r="AB894" s="137"/>
      <c r="AC894" s="137"/>
    </row>
    <row r="895" spans="3:29" ht="15.75" customHeight="1">
      <c r="C895" s="63"/>
      <c r="D895" s="63"/>
      <c r="E895" s="63"/>
      <c r="F895" s="63"/>
      <c r="G895" s="63"/>
      <c r="H895" s="63"/>
      <c r="I895" s="63"/>
      <c r="J895" s="63"/>
      <c r="K895" s="63"/>
      <c r="L895" s="63"/>
      <c r="M895" s="168"/>
      <c r="N895" s="63"/>
      <c r="O895" s="64"/>
      <c r="P895" s="64"/>
      <c r="Q895" s="64"/>
      <c r="R895" s="64"/>
      <c r="S895" s="64"/>
      <c r="T895" s="64"/>
      <c r="U895" s="64"/>
      <c r="V895" s="64"/>
      <c r="W895" s="64"/>
      <c r="X895" s="64"/>
      <c r="Y895" s="137"/>
      <c r="Z895" s="137"/>
      <c r="AA895" s="137"/>
      <c r="AB895" s="137"/>
      <c r="AC895" s="137"/>
    </row>
    <row r="896" spans="3:29" ht="15.75" customHeight="1">
      <c r="C896" s="63"/>
      <c r="D896" s="63"/>
      <c r="E896" s="63"/>
      <c r="F896" s="63"/>
      <c r="G896" s="63"/>
      <c r="H896" s="63"/>
      <c r="I896" s="63"/>
      <c r="J896" s="63"/>
      <c r="K896" s="63"/>
      <c r="L896" s="63"/>
      <c r="M896" s="168"/>
      <c r="N896" s="63"/>
      <c r="O896" s="64"/>
      <c r="P896" s="64"/>
      <c r="Q896" s="64"/>
      <c r="R896" s="64"/>
      <c r="S896" s="64"/>
      <c r="T896" s="64"/>
      <c r="U896" s="64"/>
      <c r="V896" s="64"/>
      <c r="W896" s="64"/>
      <c r="X896" s="64"/>
      <c r="Y896" s="137"/>
      <c r="Z896" s="137"/>
      <c r="AA896" s="137"/>
      <c r="AB896" s="137"/>
      <c r="AC896" s="137"/>
    </row>
    <row r="897" spans="3:29" ht="15.75" customHeight="1">
      <c r="C897" s="63"/>
      <c r="D897" s="63"/>
      <c r="E897" s="63"/>
      <c r="F897" s="63"/>
      <c r="G897" s="63"/>
      <c r="H897" s="63"/>
      <c r="I897" s="63"/>
      <c r="J897" s="63"/>
      <c r="K897" s="63"/>
      <c r="L897" s="63"/>
      <c r="M897" s="168"/>
      <c r="N897" s="63"/>
      <c r="O897" s="64"/>
      <c r="P897" s="64"/>
      <c r="Q897" s="64"/>
      <c r="R897" s="64"/>
      <c r="S897" s="64"/>
      <c r="T897" s="64"/>
      <c r="U897" s="64"/>
      <c r="V897" s="64"/>
      <c r="W897" s="64"/>
      <c r="X897" s="64"/>
      <c r="Y897" s="137"/>
      <c r="Z897" s="137"/>
      <c r="AA897" s="137"/>
      <c r="AB897" s="137"/>
      <c r="AC897" s="137"/>
    </row>
    <row r="898" spans="3:29" ht="15.75" customHeight="1">
      <c r="C898" s="63"/>
      <c r="D898" s="63"/>
      <c r="E898" s="63"/>
      <c r="F898" s="63"/>
      <c r="G898" s="63"/>
      <c r="H898" s="63"/>
      <c r="I898" s="63"/>
      <c r="J898" s="63"/>
      <c r="K898" s="63"/>
      <c r="L898" s="63"/>
      <c r="M898" s="168"/>
      <c r="N898" s="63"/>
      <c r="O898" s="64"/>
      <c r="P898" s="64"/>
      <c r="Q898" s="64"/>
      <c r="R898" s="64"/>
      <c r="S898" s="64"/>
      <c r="T898" s="64"/>
      <c r="U898" s="64"/>
      <c r="V898" s="64"/>
      <c r="W898" s="64"/>
      <c r="X898" s="64"/>
      <c r="Y898" s="137"/>
      <c r="Z898" s="137"/>
      <c r="AA898" s="137"/>
      <c r="AB898" s="137"/>
      <c r="AC898" s="137"/>
    </row>
    <row r="899" spans="3:29" ht="15.75" customHeight="1">
      <c r="C899" s="63"/>
      <c r="D899" s="63"/>
      <c r="E899" s="63"/>
      <c r="F899" s="63"/>
      <c r="G899" s="63"/>
      <c r="H899" s="63"/>
      <c r="I899" s="63"/>
      <c r="J899" s="63"/>
      <c r="K899" s="63"/>
      <c r="L899" s="63"/>
      <c r="M899" s="168"/>
      <c r="N899" s="63"/>
      <c r="O899" s="64"/>
      <c r="P899" s="64"/>
      <c r="Q899" s="64"/>
      <c r="R899" s="64"/>
      <c r="S899" s="64"/>
      <c r="T899" s="64"/>
      <c r="U899" s="64"/>
      <c r="V899" s="64"/>
      <c r="W899" s="64"/>
      <c r="X899" s="64"/>
      <c r="Y899" s="137"/>
      <c r="Z899" s="137"/>
      <c r="AA899" s="137"/>
      <c r="AB899" s="137"/>
      <c r="AC899" s="137"/>
    </row>
    <row r="900" spans="3:29" ht="15.75" customHeight="1">
      <c r="C900" s="63"/>
      <c r="D900" s="63"/>
      <c r="E900" s="63"/>
      <c r="F900" s="63"/>
      <c r="G900" s="63"/>
      <c r="H900" s="63"/>
      <c r="I900" s="63"/>
      <c r="J900" s="63"/>
      <c r="K900" s="63"/>
      <c r="L900" s="63"/>
      <c r="M900" s="168"/>
      <c r="N900" s="63"/>
      <c r="O900" s="64"/>
      <c r="P900" s="64"/>
      <c r="Q900" s="64"/>
      <c r="R900" s="64"/>
      <c r="S900" s="64"/>
      <c r="T900" s="64"/>
      <c r="U900" s="64"/>
      <c r="V900" s="64"/>
      <c r="W900" s="64"/>
      <c r="X900" s="64"/>
      <c r="Y900" s="137"/>
      <c r="Z900" s="137"/>
      <c r="AA900" s="137"/>
      <c r="AB900" s="137"/>
      <c r="AC900" s="137"/>
    </row>
    <row r="901" spans="3:29" ht="15.75" customHeight="1">
      <c r="C901" s="63"/>
      <c r="D901" s="63"/>
      <c r="E901" s="63"/>
      <c r="F901" s="63"/>
      <c r="G901" s="63"/>
      <c r="H901" s="63"/>
      <c r="I901" s="63"/>
      <c r="J901" s="63"/>
      <c r="K901" s="63"/>
      <c r="L901" s="63"/>
      <c r="M901" s="168"/>
      <c r="N901" s="63"/>
      <c r="O901" s="64"/>
      <c r="P901" s="64"/>
      <c r="Q901" s="64"/>
      <c r="R901" s="64"/>
      <c r="S901" s="64"/>
      <c r="T901" s="64"/>
      <c r="U901" s="64"/>
      <c r="V901" s="64"/>
      <c r="W901" s="64"/>
      <c r="X901" s="64"/>
      <c r="Y901" s="137"/>
      <c r="Z901" s="137"/>
      <c r="AA901" s="137"/>
      <c r="AB901" s="137"/>
      <c r="AC901" s="137"/>
    </row>
    <row r="902" spans="3:29" ht="15.75" customHeight="1">
      <c r="C902" s="63"/>
      <c r="D902" s="63"/>
      <c r="E902" s="63"/>
      <c r="F902" s="63"/>
      <c r="G902" s="63"/>
      <c r="H902" s="63"/>
      <c r="I902" s="63"/>
      <c r="J902" s="63"/>
      <c r="K902" s="63"/>
      <c r="L902" s="63"/>
      <c r="M902" s="168"/>
      <c r="N902" s="63"/>
      <c r="O902" s="64"/>
      <c r="P902" s="64"/>
      <c r="Q902" s="64"/>
      <c r="R902" s="64"/>
      <c r="S902" s="64"/>
      <c r="T902" s="64"/>
      <c r="U902" s="64"/>
      <c r="V902" s="64"/>
      <c r="W902" s="64"/>
      <c r="X902" s="64"/>
      <c r="Y902" s="137"/>
      <c r="Z902" s="137"/>
      <c r="AA902" s="137"/>
      <c r="AB902" s="137"/>
      <c r="AC902" s="137"/>
    </row>
    <row r="903" spans="3:29" ht="15.75" customHeight="1">
      <c r="C903" s="63"/>
      <c r="D903" s="63"/>
      <c r="E903" s="63"/>
      <c r="F903" s="63"/>
      <c r="G903" s="63"/>
      <c r="H903" s="63"/>
      <c r="I903" s="63"/>
      <c r="J903" s="63"/>
      <c r="K903" s="63"/>
      <c r="L903" s="63"/>
      <c r="M903" s="168"/>
      <c r="N903" s="63"/>
      <c r="O903" s="64"/>
      <c r="P903" s="64"/>
      <c r="Q903" s="64"/>
      <c r="R903" s="64"/>
      <c r="S903" s="64"/>
      <c r="T903" s="64"/>
      <c r="U903" s="64"/>
      <c r="V903" s="64"/>
      <c r="W903" s="64"/>
      <c r="X903" s="64"/>
      <c r="Y903" s="137"/>
      <c r="Z903" s="137"/>
      <c r="AA903" s="137"/>
      <c r="AB903" s="137"/>
      <c r="AC903" s="137"/>
    </row>
    <row r="904" spans="3:29" ht="15.75" customHeight="1">
      <c r="C904" s="63"/>
      <c r="D904" s="63"/>
      <c r="E904" s="63"/>
      <c r="F904" s="63"/>
      <c r="G904" s="63"/>
      <c r="H904" s="63"/>
      <c r="I904" s="63"/>
      <c r="J904" s="63"/>
      <c r="K904" s="63"/>
      <c r="L904" s="63"/>
      <c r="M904" s="168"/>
      <c r="N904" s="63"/>
      <c r="O904" s="64"/>
      <c r="P904" s="64"/>
      <c r="Q904" s="64"/>
      <c r="R904" s="64"/>
      <c r="S904" s="64"/>
      <c r="T904" s="64"/>
      <c r="U904" s="64"/>
      <c r="V904" s="64"/>
      <c r="W904" s="64"/>
      <c r="X904" s="64"/>
      <c r="Y904" s="137"/>
      <c r="Z904" s="137"/>
      <c r="AA904" s="137"/>
      <c r="AB904" s="137"/>
      <c r="AC904" s="137"/>
    </row>
    <row r="905" spans="3:29" ht="15.75" customHeight="1">
      <c r="C905" s="63"/>
      <c r="D905" s="63"/>
      <c r="E905" s="63"/>
      <c r="F905" s="63"/>
      <c r="G905" s="63"/>
      <c r="H905" s="63"/>
      <c r="I905" s="63"/>
      <c r="J905" s="63"/>
      <c r="K905" s="63"/>
      <c r="L905" s="63"/>
      <c r="M905" s="168"/>
      <c r="N905" s="63"/>
      <c r="O905" s="64"/>
      <c r="P905" s="64"/>
      <c r="Q905" s="64"/>
      <c r="R905" s="64"/>
      <c r="S905" s="64"/>
      <c r="T905" s="64"/>
      <c r="U905" s="64"/>
      <c r="V905" s="64"/>
      <c r="W905" s="64"/>
      <c r="X905" s="64"/>
      <c r="Y905" s="137"/>
      <c r="Z905" s="137"/>
      <c r="AA905" s="137"/>
      <c r="AB905" s="137"/>
      <c r="AC905" s="137"/>
    </row>
    <row r="906" spans="3:29" ht="15.75" customHeight="1">
      <c r="C906" s="63"/>
      <c r="D906" s="63"/>
      <c r="E906" s="63"/>
      <c r="F906" s="63"/>
      <c r="G906" s="63"/>
      <c r="H906" s="63"/>
      <c r="I906" s="63"/>
      <c r="J906" s="63"/>
      <c r="K906" s="63"/>
      <c r="L906" s="63"/>
      <c r="M906" s="168"/>
      <c r="N906" s="63"/>
      <c r="O906" s="64"/>
      <c r="P906" s="64"/>
      <c r="Q906" s="64"/>
      <c r="R906" s="64"/>
      <c r="S906" s="64"/>
      <c r="T906" s="64"/>
      <c r="U906" s="64"/>
      <c r="V906" s="64"/>
      <c r="W906" s="64"/>
      <c r="X906" s="64"/>
      <c r="Y906" s="137"/>
      <c r="Z906" s="137"/>
      <c r="AA906" s="137"/>
      <c r="AB906" s="137"/>
      <c r="AC906" s="137"/>
    </row>
    <row r="907" spans="3:29" ht="15.75" customHeight="1">
      <c r="C907" s="63"/>
      <c r="D907" s="63"/>
      <c r="E907" s="63"/>
      <c r="F907" s="63"/>
      <c r="G907" s="63"/>
      <c r="H907" s="63"/>
      <c r="I907" s="63"/>
      <c r="J907" s="63"/>
      <c r="K907" s="63"/>
      <c r="L907" s="63"/>
      <c r="M907" s="168"/>
      <c r="N907" s="63"/>
      <c r="O907" s="64"/>
      <c r="P907" s="64"/>
      <c r="Q907" s="64"/>
      <c r="R907" s="64"/>
      <c r="S907" s="64"/>
      <c r="T907" s="64"/>
      <c r="U907" s="64"/>
      <c r="V907" s="64"/>
      <c r="W907" s="64"/>
      <c r="X907" s="64"/>
      <c r="Y907" s="137"/>
      <c r="Z907" s="137"/>
      <c r="AA907" s="137"/>
      <c r="AB907" s="137"/>
      <c r="AC907" s="137"/>
    </row>
    <row r="908" spans="3:29" ht="15.75" customHeight="1">
      <c r="C908" s="63"/>
      <c r="D908" s="63"/>
      <c r="E908" s="63"/>
      <c r="F908" s="63"/>
      <c r="G908" s="63"/>
      <c r="H908" s="63"/>
      <c r="I908" s="63"/>
      <c r="J908" s="63"/>
      <c r="K908" s="63"/>
      <c r="L908" s="63"/>
      <c r="M908" s="168"/>
      <c r="N908" s="63"/>
      <c r="O908" s="64"/>
      <c r="P908" s="64"/>
      <c r="Q908" s="64"/>
      <c r="R908" s="64"/>
      <c r="S908" s="64"/>
      <c r="T908" s="64"/>
      <c r="U908" s="64"/>
      <c r="V908" s="64"/>
      <c r="W908" s="64"/>
      <c r="X908" s="64"/>
      <c r="Y908" s="137"/>
      <c r="Z908" s="137"/>
      <c r="AA908" s="137"/>
      <c r="AB908" s="137"/>
      <c r="AC908" s="137"/>
    </row>
    <row r="909" spans="3:29" ht="15.75" customHeight="1">
      <c r="C909" s="63"/>
      <c r="D909" s="63"/>
      <c r="E909" s="63"/>
      <c r="F909" s="63"/>
      <c r="G909" s="63"/>
      <c r="H909" s="63"/>
      <c r="I909" s="63"/>
      <c r="J909" s="63"/>
      <c r="K909" s="63"/>
      <c r="L909" s="63"/>
      <c r="M909" s="168"/>
      <c r="N909" s="63"/>
      <c r="O909" s="64"/>
      <c r="P909" s="64"/>
      <c r="Q909" s="64"/>
      <c r="R909" s="64"/>
      <c r="S909" s="64"/>
      <c r="T909" s="64"/>
      <c r="U909" s="64"/>
      <c r="V909" s="64"/>
      <c r="W909" s="64"/>
      <c r="X909" s="64"/>
      <c r="Y909" s="137"/>
      <c r="Z909" s="137"/>
      <c r="AA909" s="137"/>
      <c r="AB909" s="137"/>
      <c r="AC909" s="137"/>
    </row>
    <row r="910" spans="3:29" ht="15.75" customHeight="1">
      <c r="C910" s="63"/>
      <c r="D910" s="63"/>
      <c r="E910" s="63"/>
      <c r="F910" s="63"/>
      <c r="G910" s="63"/>
      <c r="H910" s="63"/>
      <c r="I910" s="63"/>
      <c r="J910" s="63"/>
      <c r="K910" s="63"/>
      <c r="L910" s="63"/>
      <c r="M910" s="168"/>
      <c r="N910" s="63"/>
      <c r="O910" s="64"/>
      <c r="P910" s="64"/>
      <c r="Q910" s="64"/>
      <c r="R910" s="64"/>
      <c r="S910" s="64"/>
      <c r="T910" s="64"/>
      <c r="U910" s="64"/>
      <c r="V910" s="64"/>
      <c r="W910" s="64"/>
      <c r="X910" s="64"/>
      <c r="Y910" s="137"/>
      <c r="Z910" s="137"/>
      <c r="AA910" s="137"/>
      <c r="AB910" s="137"/>
      <c r="AC910" s="137"/>
    </row>
    <row r="911" spans="3:29" ht="15.75" customHeight="1">
      <c r="C911" s="63"/>
      <c r="D911" s="63"/>
      <c r="E911" s="63"/>
      <c r="F911" s="63"/>
      <c r="G911" s="63"/>
      <c r="H911" s="63"/>
      <c r="I911" s="63"/>
      <c r="J911" s="63"/>
      <c r="K911" s="63"/>
      <c r="L911" s="63"/>
      <c r="M911" s="168"/>
      <c r="N911" s="63"/>
      <c r="O911" s="64"/>
      <c r="P911" s="64"/>
      <c r="Q911" s="64"/>
      <c r="R911" s="64"/>
      <c r="S911" s="64"/>
      <c r="T911" s="64"/>
      <c r="U911" s="64"/>
      <c r="V911" s="64"/>
      <c r="W911" s="64"/>
      <c r="X911" s="64"/>
      <c r="Y911" s="137"/>
      <c r="Z911" s="137"/>
      <c r="AA911" s="137"/>
      <c r="AB911" s="137"/>
      <c r="AC911" s="137"/>
    </row>
    <row r="912" spans="3:29" ht="15.75" customHeight="1">
      <c r="C912" s="63"/>
      <c r="D912" s="63"/>
      <c r="E912" s="63"/>
      <c r="F912" s="63"/>
      <c r="G912" s="63"/>
      <c r="H912" s="63"/>
      <c r="I912" s="63"/>
      <c r="J912" s="63"/>
      <c r="K912" s="63"/>
      <c r="L912" s="63"/>
      <c r="M912" s="168"/>
      <c r="N912" s="63"/>
      <c r="O912" s="64"/>
      <c r="P912" s="64"/>
      <c r="Q912" s="64"/>
      <c r="R912" s="64"/>
      <c r="S912" s="64"/>
      <c r="T912" s="64"/>
      <c r="U912" s="64"/>
      <c r="V912" s="64"/>
      <c r="W912" s="64"/>
      <c r="X912" s="64"/>
      <c r="Y912" s="137"/>
      <c r="Z912" s="137"/>
      <c r="AA912" s="137"/>
      <c r="AB912" s="137"/>
      <c r="AC912" s="137"/>
    </row>
    <row r="913" spans="3:29" ht="15.75" customHeight="1">
      <c r="C913" s="63"/>
      <c r="D913" s="63"/>
      <c r="E913" s="63"/>
      <c r="F913" s="63"/>
      <c r="G913" s="63"/>
      <c r="H913" s="63"/>
      <c r="I913" s="63"/>
      <c r="J913" s="63"/>
      <c r="K913" s="63"/>
      <c r="L913" s="63"/>
      <c r="M913" s="168"/>
      <c r="N913" s="63"/>
      <c r="O913" s="64"/>
      <c r="P913" s="64"/>
      <c r="Q913" s="64"/>
      <c r="R913" s="64"/>
      <c r="S913" s="64"/>
      <c r="T913" s="64"/>
      <c r="U913" s="64"/>
      <c r="V913" s="64"/>
      <c r="W913" s="64"/>
      <c r="X913" s="64"/>
      <c r="Y913" s="137"/>
      <c r="Z913" s="137"/>
      <c r="AA913" s="137"/>
      <c r="AB913" s="137"/>
      <c r="AC913" s="137"/>
    </row>
    <row r="914" spans="3:29" ht="15.75" customHeight="1">
      <c r="C914" s="63"/>
      <c r="D914" s="63"/>
      <c r="E914" s="63"/>
      <c r="F914" s="63"/>
      <c r="G914" s="63"/>
      <c r="H914" s="63"/>
      <c r="I914" s="63"/>
      <c r="J914" s="63"/>
      <c r="K914" s="63"/>
      <c r="L914" s="63"/>
      <c r="M914" s="168"/>
      <c r="N914" s="63"/>
      <c r="O914" s="64"/>
      <c r="P914" s="64"/>
      <c r="Q914" s="64"/>
      <c r="R914" s="64"/>
      <c r="S914" s="64"/>
      <c r="T914" s="64"/>
      <c r="U914" s="64"/>
      <c r="V914" s="64"/>
      <c r="W914" s="64"/>
      <c r="X914" s="64"/>
      <c r="Y914" s="137"/>
      <c r="Z914" s="137"/>
      <c r="AA914" s="137"/>
      <c r="AB914" s="137"/>
      <c r="AC914" s="137"/>
    </row>
    <row r="915" spans="3:29" ht="15.75" customHeight="1">
      <c r="C915" s="63"/>
      <c r="D915" s="63"/>
      <c r="E915" s="63"/>
      <c r="F915" s="63"/>
      <c r="G915" s="63"/>
      <c r="H915" s="63"/>
      <c r="I915" s="63"/>
      <c r="J915" s="63"/>
      <c r="K915" s="63"/>
      <c r="L915" s="63"/>
      <c r="M915" s="168"/>
      <c r="N915" s="63"/>
      <c r="O915" s="64"/>
      <c r="P915" s="64"/>
      <c r="Q915" s="64"/>
      <c r="R915" s="64"/>
      <c r="S915" s="64"/>
      <c r="T915" s="64"/>
      <c r="U915" s="64"/>
      <c r="V915" s="64"/>
      <c r="W915" s="64"/>
      <c r="X915" s="64"/>
      <c r="Y915" s="137"/>
      <c r="Z915" s="137"/>
      <c r="AA915" s="137"/>
      <c r="AB915" s="137"/>
      <c r="AC915" s="137"/>
    </row>
    <row r="916" spans="3:29" ht="15.75" customHeight="1">
      <c r="C916" s="63"/>
      <c r="D916" s="63"/>
      <c r="E916" s="63"/>
      <c r="F916" s="63"/>
      <c r="G916" s="63"/>
      <c r="H916" s="63"/>
      <c r="I916" s="63"/>
      <c r="J916" s="63"/>
      <c r="K916" s="63"/>
      <c r="L916" s="63"/>
      <c r="M916" s="168"/>
      <c r="N916" s="63"/>
      <c r="O916" s="64"/>
      <c r="P916" s="64"/>
      <c r="Q916" s="64"/>
      <c r="R916" s="64"/>
      <c r="S916" s="64"/>
      <c r="T916" s="64"/>
      <c r="U916" s="64"/>
      <c r="V916" s="64"/>
      <c r="W916" s="64"/>
      <c r="X916" s="64"/>
      <c r="Y916" s="137"/>
      <c r="Z916" s="137"/>
      <c r="AA916" s="137"/>
      <c r="AB916" s="137"/>
      <c r="AC916" s="137"/>
    </row>
    <row r="917" spans="3:29" ht="15.75" customHeight="1">
      <c r="C917" s="63"/>
      <c r="D917" s="63"/>
      <c r="E917" s="63"/>
      <c r="F917" s="63"/>
      <c r="G917" s="63"/>
      <c r="H917" s="63"/>
      <c r="I917" s="63"/>
      <c r="J917" s="63"/>
      <c r="K917" s="63"/>
      <c r="L917" s="63"/>
      <c r="M917" s="168"/>
      <c r="N917" s="63"/>
      <c r="O917" s="64"/>
      <c r="P917" s="64"/>
      <c r="Q917" s="64"/>
      <c r="R917" s="64"/>
      <c r="S917" s="64"/>
      <c r="T917" s="64"/>
      <c r="U917" s="64"/>
      <c r="V917" s="64"/>
      <c r="W917" s="64"/>
      <c r="X917" s="64"/>
      <c r="Y917" s="137"/>
      <c r="Z917" s="137"/>
      <c r="AA917" s="137"/>
      <c r="AB917" s="137"/>
      <c r="AC917" s="137"/>
    </row>
    <row r="918" spans="3:29" ht="15.75" customHeight="1">
      <c r="C918" s="63"/>
      <c r="D918" s="63"/>
      <c r="E918" s="63"/>
      <c r="F918" s="63"/>
      <c r="G918" s="63"/>
      <c r="H918" s="63"/>
      <c r="I918" s="63"/>
      <c r="J918" s="63"/>
      <c r="K918" s="63"/>
      <c r="L918" s="63"/>
      <c r="M918" s="168"/>
      <c r="N918" s="63"/>
      <c r="O918" s="64"/>
      <c r="P918" s="64"/>
      <c r="Q918" s="64"/>
      <c r="R918" s="64"/>
      <c r="S918" s="64"/>
      <c r="T918" s="64"/>
      <c r="U918" s="64"/>
      <c r="V918" s="64"/>
      <c r="W918" s="64"/>
      <c r="X918" s="64"/>
      <c r="Y918" s="137"/>
      <c r="Z918" s="137"/>
      <c r="AA918" s="137"/>
      <c r="AB918" s="137"/>
      <c r="AC918" s="137"/>
    </row>
    <row r="919" spans="3:29" ht="15.75" customHeight="1">
      <c r="C919" s="63"/>
      <c r="D919" s="63"/>
      <c r="E919" s="63"/>
      <c r="F919" s="63"/>
      <c r="G919" s="63"/>
      <c r="H919" s="63"/>
      <c r="I919" s="63"/>
      <c r="J919" s="63"/>
      <c r="K919" s="63"/>
      <c r="L919" s="63"/>
      <c r="M919" s="168"/>
      <c r="N919" s="63"/>
      <c r="O919" s="64"/>
      <c r="P919" s="64"/>
      <c r="Q919" s="64"/>
      <c r="R919" s="64"/>
      <c r="S919" s="64"/>
      <c r="T919" s="64"/>
      <c r="U919" s="64"/>
      <c r="V919" s="64"/>
      <c r="W919" s="64"/>
      <c r="X919" s="64"/>
      <c r="Y919" s="137"/>
      <c r="Z919" s="137"/>
      <c r="AA919" s="137"/>
      <c r="AB919" s="137"/>
      <c r="AC919" s="137"/>
    </row>
    <row r="920" spans="3:29" ht="15.75" customHeight="1">
      <c r="C920" s="63"/>
      <c r="D920" s="63"/>
      <c r="E920" s="63"/>
      <c r="F920" s="63"/>
      <c r="G920" s="63"/>
      <c r="H920" s="63"/>
      <c r="I920" s="63"/>
      <c r="J920" s="63"/>
      <c r="K920" s="63"/>
      <c r="L920" s="63"/>
      <c r="M920" s="168"/>
      <c r="N920" s="63"/>
      <c r="O920" s="64"/>
      <c r="P920" s="64"/>
      <c r="Q920" s="64"/>
      <c r="R920" s="64"/>
      <c r="S920" s="64"/>
      <c r="T920" s="64"/>
      <c r="U920" s="64"/>
      <c r="V920" s="64"/>
      <c r="W920" s="64"/>
      <c r="X920" s="64"/>
      <c r="Y920" s="137"/>
      <c r="Z920" s="137"/>
      <c r="AA920" s="137"/>
      <c r="AB920" s="137"/>
      <c r="AC920" s="137"/>
    </row>
    <row r="921" spans="3:29" ht="15.75" customHeight="1">
      <c r="C921" s="63"/>
      <c r="D921" s="63"/>
      <c r="E921" s="63"/>
      <c r="F921" s="63"/>
      <c r="G921" s="63"/>
      <c r="H921" s="63"/>
      <c r="I921" s="63"/>
      <c r="J921" s="63"/>
      <c r="K921" s="63"/>
      <c r="L921" s="63"/>
      <c r="M921" s="168"/>
      <c r="N921" s="63"/>
      <c r="O921" s="64"/>
      <c r="P921" s="64"/>
      <c r="Q921" s="64"/>
      <c r="R921" s="64"/>
      <c r="S921" s="64"/>
      <c r="T921" s="64"/>
      <c r="U921" s="64"/>
      <c r="V921" s="64"/>
      <c r="W921" s="64"/>
      <c r="X921" s="64"/>
      <c r="Y921" s="137"/>
      <c r="Z921" s="137"/>
      <c r="AA921" s="137"/>
      <c r="AB921" s="137"/>
      <c r="AC921" s="137"/>
    </row>
    <row r="922" spans="3:29" ht="15.75" customHeight="1">
      <c r="C922" s="63"/>
      <c r="D922" s="63"/>
      <c r="E922" s="63"/>
      <c r="F922" s="63"/>
      <c r="G922" s="63"/>
      <c r="H922" s="63"/>
      <c r="I922" s="63"/>
      <c r="J922" s="63"/>
      <c r="K922" s="63"/>
      <c r="L922" s="63"/>
      <c r="M922" s="168"/>
      <c r="N922" s="63"/>
      <c r="O922" s="64"/>
      <c r="P922" s="64"/>
      <c r="Q922" s="64"/>
      <c r="R922" s="64"/>
      <c r="S922" s="64"/>
      <c r="T922" s="64"/>
      <c r="U922" s="64"/>
      <c r="V922" s="64"/>
      <c r="W922" s="64"/>
      <c r="X922" s="64"/>
      <c r="Y922" s="137"/>
      <c r="Z922" s="137"/>
      <c r="AA922" s="137"/>
      <c r="AB922" s="137"/>
      <c r="AC922" s="137"/>
    </row>
    <row r="923" spans="3:29" ht="15.75" customHeight="1">
      <c r="C923" s="63"/>
      <c r="D923" s="63"/>
      <c r="E923" s="63"/>
      <c r="F923" s="63"/>
      <c r="G923" s="63"/>
      <c r="H923" s="63"/>
      <c r="I923" s="63"/>
      <c r="J923" s="63"/>
      <c r="K923" s="63"/>
      <c r="L923" s="63"/>
      <c r="M923" s="168"/>
      <c r="N923" s="63"/>
      <c r="O923" s="64"/>
      <c r="P923" s="64"/>
      <c r="Q923" s="64"/>
      <c r="R923" s="64"/>
      <c r="S923" s="64"/>
      <c r="T923" s="64"/>
      <c r="U923" s="64"/>
      <c r="V923" s="64"/>
      <c r="W923" s="64"/>
      <c r="X923" s="64"/>
      <c r="Y923" s="137"/>
      <c r="Z923" s="137"/>
      <c r="AA923" s="137"/>
      <c r="AB923" s="137"/>
      <c r="AC923" s="137"/>
    </row>
    <row r="924" spans="3:29" ht="15.75" customHeight="1">
      <c r="C924" s="63"/>
      <c r="D924" s="63"/>
      <c r="E924" s="63"/>
      <c r="F924" s="63"/>
      <c r="G924" s="63"/>
      <c r="H924" s="63"/>
      <c r="I924" s="63"/>
      <c r="J924" s="63"/>
      <c r="K924" s="63"/>
      <c r="L924" s="63"/>
      <c r="M924" s="168"/>
      <c r="N924" s="63"/>
      <c r="O924" s="64"/>
      <c r="P924" s="64"/>
      <c r="Q924" s="64"/>
      <c r="R924" s="64"/>
      <c r="S924" s="64"/>
      <c r="T924" s="64"/>
      <c r="U924" s="64"/>
      <c r="V924" s="64"/>
      <c r="W924" s="64"/>
      <c r="X924" s="64"/>
      <c r="Y924" s="137"/>
      <c r="Z924" s="137"/>
      <c r="AA924" s="137"/>
      <c r="AB924" s="137"/>
      <c r="AC924" s="137"/>
    </row>
    <row r="925" spans="3:29" ht="15.75" customHeight="1">
      <c r="C925" s="63"/>
      <c r="D925" s="63"/>
      <c r="E925" s="63"/>
      <c r="F925" s="63"/>
      <c r="G925" s="63"/>
      <c r="H925" s="63"/>
      <c r="I925" s="63"/>
      <c r="J925" s="63"/>
      <c r="K925" s="63"/>
      <c r="L925" s="63"/>
      <c r="M925" s="168"/>
      <c r="N925" s="63"/>
      <c r="O925" s="64"/>
      <c r="P925" s="64"/>
      <c r="Q925" s="64"/>
      <c r="R925" s="64"/>
      <c r="S925" s="64"/>
      <c r="T925" s="64"/>
      <c r="U925" s="64"/>
      <c r="V925" s="64"/>
      <c r="W925" s="64"/>
      <c r="X925" s="64"/>
      <c r="Y925" s="137"/>
      <c r="Z925" s="137"/>
      <c r="AA925" s="137"/>
      <c r="AB925" s="137"/>
      <c r="AC925" s="137"/>
    </row>
    <row r="926" spans="3:29" ht="15.75" customHeight="1">
      <c r="C926" s="63"/>
      <c r="D926" s="63"/>
      <c r="E926" s="63"/>
      <c r="F926" s="63"/>
      <c r="G926" s="63"/>
      <c r="H926" s="63"/>
      <c r="I926" s="63"/>
      <c r="J926" s="63"/>
      <c r="K926" s="63"/>
      <c r="L926" s="63"/>
      <c r="M926" s="168"/>
      <c r="N926" s="63"/>
      <c r="O926" s="64"/>
      <c r="P926" s="64"/>
      <c r="Q926" s="64"/>
      <c r="R926" s="64"/>
      <c r="S926" s="64"/>
      <c r="T926" s="64"/>
      <c r="U926" s="64"/>
      <c r="V926" s="64"/>
      <c r="W926" s="64"/>
      <c r="X926" s="64"/>
      <c r="Y926" s="137"/>
      <c r="Z926" s="137"/>
      <c r="AA926" s="137"/>
      <c r="AB926" s="137"/>
      <c r="AC926" s="137"/>
    </row>
    <row r="927" spans="3:29" ht="15.75" customHeight="1">
      <c r="C927" s="63"/>
      <c r="D927" s="63"/>
      <c r="E927" s="63"/>
      <c r="F927" s="63"/>
      <c r="G927" s="63"/>
      <c r="H927" s="63"/>
      <c r="I927" s="63"/>
      <c r="J927" s="63"/>
      <c r="K927" s="63"/>
      <c r="L927" s="63"/>
      <c r="M927" s="168"/>
      <c r="N927" s="63"/>
      <c r="O927" s="64"/>
      <c r="P927" s="64"/>
      <c r="Q927" s="64"/>
      <c r="R927" s="64"/>
      <c r="S927" s="64"/>
      <c r="T927" s="64"/>
      <c r="U927" s="64"/>
      <c r="V927" s="64"/>
      <c r="W927" s="64"/>
      <c r="X927" s="64"/>
      <c r="Y927" s="137"/>
      <c r="Z927" s="137"/>
      <c r="AA927" s="137"/>
      <c r="AB927" s="137"/>
      <c r="AC927" s="137"/>
    </row>
    <row r="928" spans="3:29" ht="15.75" customHeight="1">
      <c r="C928" s="63"/>
      <c r="D928" s="63"/>
      <c r="E928" s="63"/>
      <c r="F928" s="63"/>
      <c r="G928" s="63"/>
      <c r="H928" s="63"/>
      <c r="I928" s="63"/>
      <c r="J928" s="63"/>
      <c r="K928" s="63"/>
      <c r="L928" s="63"/>
      <c r="M928" s="168"/>
      <c r="N928" s="63"/>
      <c r="O928" s="64"/>
      <c r="P928" s="64"/>
      <c r="Q928" s="64"/>
      <c r="R928" s="64"/>
      <c r="S928" s="64"/>
      <c r="T928" s="64"/>
      <c r="U928" s="64"/>
      <c r="V928" s="64"/>
      <c r="W928" s="64"/>
      <c r="X928" s="64"/>
      <c r="Y928" s="137"/>
      <c r="Z928" s="137"/>
      <c r="AA928" s="137"/>
      <c r="AB928" s="137"/>
      <c r="AC928" s="137"/>
    </row>
    <row r="929" spans="3:29" ht="15.75" customHeight="1">
      <c r="C929" s="63"/>
      <c r="D929" s="63"/>
      <c r="E929" s="63"/>
      <c r="F929" s="63"/>
      <c r="G929" s="63"/>
      <c r="H929" s="63"/>
      <c r="I929" s="63"/>
      <c r="J929" s="63"/>
      <c r="K929" s="63"/>
      <c r="L929" s="63"/>
      <c r="M929" s="168"/>
      <c r="N929" s="63"/>
      <c r="O929" s="64"/>
      <c r="P929" s="64"/>
      <c r="Q929" s="64"/>
      <c r="R929" s="64"/>
      <c r="S929" s="64"/>
      <c r="T929" s="64"/>
      <c r="U929" s="64"/>
      <c r="V929" s="64"/>
      <c r="W929" s="64"/>
      <c r="X929" s="64"/>
      <c r="Y929" s="137"/>
      <c r="Z929" s="137"/>
      <c r="AA929" s="137"/>
      <c r="AB929" s="137"/>
      <c r="AC929" s="137"/>
    </row>
    <row r="930" spans="3:29" ht="15.75" customHeight="1">
      <c r="C930" s="63"/>
      <c r="D930" s="63"/>
      <c r="E930" s="63"/>
      <c r="F930" s="63"/>
      <c r="G930" s="63"/>
      <c r="H930" s="63"/>
      <c r="I930" s="63"/>
      <c r="J930" s="63"/>
      <c r="K930" s="63"/>
      <c r="L930" s="63"/>
      <c r="M930" s="168"/>
      <c r="N930" s="63"/>
      <c r="O930" s="64"/>
      <c r="P930" s="64"/>
      <c r="Q930" s="64"/>
      <c r="R930" s="64"/>
      <c r="S930" s="64"/>
      <c r="T930" s="64"/>
      <c r="U930" s="64"/>
      <c r="V930" s="64"/>
      <c r="W930" s="64"/>
      <c r="X930" s="64"/>
      <c r="Y930" s="137"/>
      <c r="Z930" s="137"/>
      <c r="AA930" s="137"/>
      <c r="AB930" s="137"/>
      <c r="AC930" s="137"/>
    </row>
    <row r="931" spans="3:29" ht="15.75" customHeight="1">
      <c r="C931" s="63"/>
      <c r="D931" s="63"/>
      <c r="E931" s="63"/>
      <c r="F931" s="63"/>
      <c r="G931" s="63"/>
      <c r="H931" s="63"/>
      <c r="I931" s="63"/>
      <c r="J931" s="63"/>
      <c r="K931" s="63"/>
      <c r="L931" s="63"/>
      <c r="M931" s="168"/>
      <c r="N931" s="63"/>
      <c r="O931" s="64"/>
      <c r="P931" s="64"/>
      <c r="Q931" s="64"/>
      <c r="R931" s="64"/>
      <c r="S931" s="64"/>
      <c r="T931" s="64"/>
      <c r="U931" s="64"/>
      <c r="V931" s="64"/>
      <c r="W931" s="64"/>
      <c r="X931" s="64"/>
      <c r="Y931" s="137"/>
      <c r="Z931" s="137"/>
      <c r="AA931" s="137"/>
      <c r="AB931" s="137"/>
      <c r="AC931" s="137"/>
    </row>
    <row r="932" spans="3:29" ht="15.75" customHeight="1">
      <c r="C932" s="63"/>
      <c r="D932" s="63"/>
      <c r="E932" s="63"/>
      <c r="F932" s="63"/>
      <c r="G932" s="63"/>
      <c r="H932" s="63"/>
      <c r="I932" s="63"/>
      <c r="J932" s="63"/>
      <c r="K932" s="63"/>
      <c r="L932" s="63"/>
      <c r="M932" s="168"/>
      <c r="N932" s="63"/>
      <c r="O932" s="64"/>
      <c r="P932" s="64"/>
      <c r="Q932" s="64"/>
      <c r="R932" s="64"/>
      <c r="S932" s="64"/>
      <c r="T932" s="64"/>
      <c r="U932" s="64"/>
      <c r="V932" s="64"/>
      <c r="W932" s="64"/>
      <c r="X932" s="64"/>
      <c r="Y932" s="137"/>
      <c r="Z932" s="137"/>
      <c r="AA932" s="137"/>
      <c r="AB932" s="137"/>
      <c r="AC932" s="137"/>
    </row>
    <row r="933" spans="3:29" ht="15.75" customHeight="1">
      <c r="C933" s="63"/>
      <c r="D933" s="63"/>
      <c r="E933" s="63"/>
      <c r="F933" s="63"/>
      <c r="G933" s="63"/>
      <c r="H933" s="63"/>
      <c r="I933" s="63"/>
      <c r="J933" s="63"/>
      <c r="K933" s="63"/>
      <c r="L933" s="63"/>
      <c r="M933" s="168"/>
      <c r="N933" s="63"/>
      <c r="O933" s="64"/>
      <c r="P933" s="64"/>
      <c r="Q933" s="64"/>
      <c r="R933" s="64"/>
      <c r="S933" s="64"/>
      <c r="T933" s="64"/>
      <c r="U933" s="64"/>
      <c r="V933" s="64"/>
      <c r="W933" s="64"/>
      <c r="X933" s="64"/>
      <c r="Y933" s="137"/>
      <c r="Z933" s="137"/>
      <c r="AA933" s="137"/>
      <c r="AB933" s="137"/>
      <c r="AC933" s="137"/>
    </row>
    <row r="934" spans="3:29" ht="15.75" customHeight="1">
      <c r="C934" s="63"/>
      <c r="D934" s="63"/>
      <c r="E934" s="63"/>
      <c r="F934" s="63"/>
      <c r="G934" s="63"/>
      <c r="H934" s="63"/>
      <c r="I934" s="63"/>
      <c r="J934" s="63"/>
      <c r="K934" s="63"/>
      <c r="L934" s="63"/>
      <c r="M934" s="168"/>
      <c r="N934" s="63"/>
      <c r="O934" s="64"/>
      <c r="P934" s="64"/>
      <c r="Q934" s="64"/>
      <c r="R934" s="64"/>
      <c r="S934" s="64"/>
      <c r="T934" s="64"/>
      <c r="U934" s="64"/>
      <c r="V934" s="64"/>
      <c r="W934" s="64"/>
      <c r="X934" s="64"/>
      <c r="Y934" s="137"/>
      <c r="Z934" s="137"/>
      <c r="AA934" s="137"/>
      <c r="AB934" s="137"/>
      <c r="AC934" s="137"/>
    </row>
    <row r="935" spans="3:29" ht="15.75" customHeight="1">
      <c r="C935" s="63"/>
      <c r="D935" s="63"/>
      <c r="E935" s="63"/>
      <c r="F935" s="63"/>
      <c r="G935" s="63"/>
      <c r="H935" s="63"/>
      <c r="I935" s="63"/>
      <c r="J935" s="63"/>
      <c r="K935" s="63"/>
      <c r="L935" s="63"/>
      <c r="M935" s="168"/>
      <c r="N935" s="63"/>
      <c r="O935" s="64"/>
      <c r="P935" s="64"/>
      <c r="Q935" s="64"/>
      <c r="R935" s="64"/>
      <c r="S935" s="64"/>
      <c r="T935" s="64"/>
      <c r="U935" s="64"/>
      <c r="V935" s="64"/>
      <c r="W935" s="64"/>
      <c r="X935" s="64"/>
      <c r="Y935" s="137"/>
      <c r="Z935" s="137"/>
      <c r="AA935" s="137"/>
      <c r="AB935" s="137"/>
      <c r="AC935" s="137"/>
    </row>
    <row r="936" spans="3:29" ht="15.75" customHeight="1">
      <c r="C936" s="63"/>
      <c r="D936" s="63"/>
      <c r="E936" s="63"/>
      <c r="F936" s="63"/>
      <c r="G936" s="63"/>
      <c r="H936" s="63"/>
      <c r="I936" s="63"/>
      <c r="J936" s="63"/>
      <c r="K936" s="63"/>
      <c r="L936" s="63"/>
      <c r="M936" s="168"/>
      <c r="N936" s="63"/>
      <c r="O936" s="64"/>
      <c r="P936" s="64"/>
      <c r="Q936" s="64"/>
      <c r="R936" s="64"/>
      <c r="S936" s="64"/>
      <c r="T936" s="64"/>
      <c r="U936" s="64"/>
      <c r="V936" s="64"/>
      <c r="W936" s="64"/>
      <c r="X936" s="64"/>
      <c r="Y936" s="137"/>
      <c r="Z936" s="137"/>
      <c r="AA936" s="137"/>
      <c r="AB936" s="137"/>
      <c r="AC936" s="137"/>
    </row>
    <row r="937" spans="3:29" ht="15.75" customHeight="1">
      <c r="C937" s="63"/>
      <c r="D937" s="63"/>
      <c r="E937" s="63"/>
      <c r="F937" s="63"/>
      <c r="G937" s="63"/>
      <c r="H937" s="63"/>
      <c r="I937" s="63"/>
      <c r="J937" s="63"/>
      <c r="K937" s="63"/>
      <c r="L937" s="63"/>
      <c r="M937" s="168"/>
      <c r="N937" s="63"/>
      <c r="O937" s="64"/>
      <c r="P937" s="64"/>
      <c r="Q937" s="64"/>
      <c r="R937" s="64"/>
      <c r="S937" s="64"/>
      <c r="T937" s="64"/>
      <c r="U937" s="64"/>
      <c r="V937" s="64"/>
      <c r="W937" s="64"/>
      <c r="X937" s="64"/>
      <c r="Y937" s="137"/>
      <c r="Z937" s="137"/>
      <c r="AA937" s="137"/>
      <c r="AB937" s="137"/>
      <c r="AC937" s="137"/>
    </row>
    <row r="938" spans="3:29" ht="15.75" customHeight="1">
      <c r="C938" s="63"/>
      <c r="D938" s="63"/>
      <c r="E938" s="63"/>
      <c r="F938" s="63"/>
      <c r="G938" s="63"/>
      <c r="H938" s="63"/>
      <c r="I938" s="63"/>
      <c r="J938" s="63"/>
      <c r="K938" s="63"/>
      <c r="L938" s="63"/>
      <c r="M938" s="168"/>
      <c r="N938" s="63"/>
      <c r="O938" s="64"/>
      <c r="P938" s="64"/>
      <c r="Q938" s="64"/>
      <c r="R938" s="64"/>
      <c r="S938" s="64"/>
      <c r="T938" s="64"/>
      <c r="U938" s="64"/>
      <c r="V938" s="64"/>
      <c r="W938" s="64"/>
      <c r="X938" s="64"/>
      <c r="Y938" s="137"/>
      <c r="Z938" s="137"/>
      <c r="AA938" s="137"/>
      <c r="AB938" s="137"/>
      <c r="AC938" s="137"/>
    </row>
    <row r="939" spans="3:29" ht="15.75" customHeight="1">
      <c r="C939" s="63"/>
      <c r="D939" s="63"/>
      <c r="E939" s="63"/>
      <c r="F939" s="63"/>
      <c r="G939" s="63"/>
      <c r="H939" s="63"/>
      <c r="I939" s="63"/>
      <c r="J939" s="63"/>
      <c r="K939" s="63"/>
      <c r="L939" s="63"/>
      <c r="M939" s="168"/>
      <c r="N939" s="63"/>
      <c r="O939" s="64"/>
      <c r="P939" s="64"/>
      <c r="Q939" s="64"/>
      <c r="R939" s="64"/>
      <c r="S939" s="64"/>
      <c r="T939" s="64"/>
      <c r="U939" s="64"/>
      <c r="V939" s="64"/>
      <c r="W939" s="64"/>
      <c r="X939" s="64"/>
      <c r="Y939" s="137"/>
      <c r="Z939" s="137"/>
      <c r="AA939" s="137"/>
      <c r="AB939" s="137"/>
      <c r="AC939" s="137"/>
    </row>
    <row r="940" spans="3:29" ht="15.75" customHeight="1">
      <c r="C940" s="63"/>
      <c r="D940" s="63"/>
      <c r="E940" s="63"/>
      <c r="F940" s="63"/>
      <c r="G940" s="63"/>
      <c r="H940" s="63"/>
      <c r="I940" s="63"/>
      <c r="J940" s="63"/>
      <c r="K940" s="63"/>
      <c r="L940" s="63"/>
      <c r="M940" s="168"/>
      <c r="N940" s="63"/>
      <c r="O940" s="64"/>
      <c r="P940" s="64"/>
      <c r="Q940" s="64"/>
      <c r="R940" s="64"/>
      <c r="S940" s="64"/>
      <c r="T940" s="64"/>
      <c r="U940" s="64"/>
      <c r="V940" s="64"/>
      <c r="W940" s="64"/>
      <c r="X940" s="64"/>
      <c r="Y940" s="137"/>
      <c r="Z940" s="137"/>
      <c r="AA940" s="137"/>
      <c r="AB940" s="137"/>
      <c r="AC940" s="137"/>
    </row>
    <row r="941" spans="3:29" ht="15.75" customHeight="1">
      <c r="C941" s="63"/>
      <c r="D941" s="63"/>
      <c r="E941" s="63"/>
      <c r="F941" s="63"/>
      <c r="G941" s="63"/>
      <c r="H941" s="63"/>
      <c r="I941" s="63"/>
      <c r="J941" s="63"/>
      <c r="K941" s="63"/>
      <c r="L941" s="63"/>
      <c r="M941" s="168"/>
      <c r="N941" s="63"/>
      <c r="O941" s="64"/>
      <c r="P941" s="64"/>
      <c r="Q941" s="64"/>
      <c r="R941" s="64"/>
      <c r="S941" s="64"/>
      <c r="T941" s="64"/>
      <c r="U941" s="64"/>
      <c r="V941" s="64"/>
      <c r="W941" s="64"/>
      <c r="X941" s="64"/>
      <c r="Y941" s="137"/>
      <c r="Z941" s="137"/>
      <c r="AA941" s="137"/>
      <c r="AB941" s="137"/>
      <c r="AC941" s="137"/>
    </row>
    <row r="942" spans="3:29" ht="15.75" customHeight="1">
      <c r="C942" s="63"/>
      <c r="D942" s="63"/>
      <c r="E942" s="63"/>
      <c r="F942" s="63"/>
      <c r="G942" s="63"/>
      <c r="H942" s="63"/>
      <c r="I942" s="63"/>
      <c r="J942" s="63"/>
      <c r="K942" s="63"/>
      <c r="L942" s="63"/>
      <c r="M942" s="168"/>
      <c r="N942" s="63"/>
      <c r="O942" s="64"/>
      <c r="P942" s="64"/>
      <c r="Q942" s="64"/>
      <c r="R942" s="64"/>
      <c r="S942" s="64"/>
      <c r="T942" s="64"/>
      <c r="U942" s="64"/>
      <c r="V942" s="64"/>
      <c r="W942" s="64"/>
      <c r="X942" s="64"/>
      <c r="Y942" s="137"/>
      <c r="Z942" s="137"/>
      <c r="AA942" s="137"/>
      <c r="AB942" s="137"/>
      <c r="AC942" s="137"/>
    </row>
    <row r="943" spans="3:29" ht="15.75" customHeight="1">
      <c r="C943" s="63"/>
      <c r="D943" s="63"/>
      <c r="E943" s="63"/>
      <c r="F943" s="63"/>
      <c r="G943" s="63"/>
      <c r="H943" s="63"/>
      <c r="I943" s="63"/>
      <c r="J943" s="63"/>
      <c r="K943" s="63"/>
      <c r="L943" s="63"/>
      <c r="M943" s="168"/>
      <c r="N943" s="63"/>
      <c r="O943" s="64"/>
      <c r="P943" s="64"/>
      <c r="Q943" s="64"/>
      <c r="R943" s="64"/>
      <c r="S943" s="64"/>
      <c r="T943" s="64"/>
      <c r="U943" s="64"/>
      <c r="V943" s="64"/>
      <c r="W943" s="64"/>
      <c r="X943" s="64"/>
      <c r="Y943" s="137"/>
      <c r="Z943" s="137"/>
      <c r="AA943" s="137"/>
      <c r="AB943" s="137"/>
      <c r="AC943" s="137"/>
    </row>
    <row r="944" spans="3:29" ht="15.75" customHeight="1">
      <c r="C944" s="63"/>
      <c r="D944" s="63"/>
      <c r="E944" s="63"/>
      <c r="F944" s="63"/>
      <c r="G944" s="63"/>
      <c r="H944" s="63"/>
      <c r="I944" s="63"/>
      <c r="J944" s="63"/>
      <c r="K944" s="63"/>
      <c r="L944" s="63"/>
      <c r="M944" s="168"/>
      <c r="N944" s="63"/>
      <c r="O944" s="64"/>
      <c r="P944" s="64"/>
      <c r="Q944" s="64"/>
      <c r="R944" s="64"/>
      <c r="S944" s="64"/>
      <c r="T944" s="64"/>
      <c r="U944" s="64"/>
      <c r="V944" s="64"/>
      <c r="W944" s="64"/>
      <c r="X944" s="64"/>
      <c r="Y944" s="137"/>
      <c r="Z944" s="137"/>
      <c r="AA944" s="137"/>
      <c r="AB944" s="137"/>
      <c r="AC944" s="137"/>
    </row>
    <row r="945" spans="3:29" ht="15.75" customHeight="1">
      <c r="C945" s="63"/>
      <c r="D945" s="63"/>
      <c r="E945" s="63"/>
      <c r="F945" s="63"/>
      <c r="G945" s="63"/>
      <c r="H945" s="63"/>
      <c r="I945" s="63"/>
      <c r="J945" s="63"/>
      <c r="K945" s="63"/>
      <c r="L945" s="63"/>
      <c r="M945" s="168"/>
      <c r="N945" s="63"/>
      <c r="O945" s="64"/>
      <c r="P945" s="64"/>
      <c r="Q945" s="64"/>
      <c r="R945" s="64"/>
      <c r="S945" s="64"/>
      <c r="T945" s="64"/>
      <c r="U945" s="64"/>
      <c r="V945" s="64"/>
      <c r="W945" s="64"/>
      <c r="X945" s="64"/>
      <c r="Y945" s="137"/>
      <c r="Z945" s="137"/>
      <c r="AA945" s="137"/>
      <c r="AB945" s="137"/>
      <c r="AC945" s="137"/>
    </row>
    <row r="946" spans="3:29" ht="15.75" customHeight="1">
      <c r="C946" s="63"/>
      <c r="D946" s="63"/>
      <c r="E946" s="63"/>
      <c r="F946" s="63"/>
      <c r="G946" s="63"/>
      <c r="H946" s="63"/>
      <c r="I946" s="63"/>
      <c r="J946" s="63"/>
      <c r="K946" s="63"/>
      <c r="L946" s="63"/>
      <c r="M946" s="168"/>
      <c r="N946" s="63"/>
      <c r="O946" s="64"/>
      <c r="P946" s="64"/>
      <c r="Q946" s="64"/>
      <c r="R946" s="64"/>
      <c r="S946" s="64"/>
      <c r="T946" s="64"/>
      <c r="U946" s="64"/>
      <c r="V946" s="64"/>
      <c r="W946" s="64"/>
      <c r="X946" s="64"/>
      <c r="Y946" s="137"/>
      <c r="Z946" s="137"/>
      <c r="AA946" s="137"/>
      <c r="AB946" s="137"/>
      <c r="AC946" s="137"/>
    </row>
    <row r="947" spans="3:29" ht="15.75" customHeight="1">
      <c r="C947" s="63"/>
      <c r="D947" s="63"/>
      <c r="E947" s="63"/>
      <c r="F947" s="63"/>
      <c r="G947" s="63"/>
      <c r="H947" s="63"/>
      <c r="I947" s="63"/>
      <c r="J947" s="63"/>
      <c r="K947" s="63"/>
      <c r="L947" s="63"/>
      <c r="M947" s="168"/>
      <c r="N947" s="63"/>
      <c r="O947" s="64"/>
      <c r="P947" s="64"/>
      <c r="Q947" s="64"/>
      <c r="R947" s="64"/>
      <c r="S947" s="64"/>
      <c r="T947" s="64"/>
      <c r="U947" s="64"/>
      <c r="V947" s="64"/>
      <c r="W947" s="64"/>
      <c r="X947" s="64"/>
      <c r="Y947" s="137"/>
      <c r="Z947" s="137"/>
      <c r="AA947" s="137"/>
      <c r="AB947" s="137"/>
      <c r="AC947" s="137"/>
    </row>
    <row r="948" spans="3:29" ht="15.75" customHeight="1">
      <c r="C948" s="63"/>
      <c r="D948" s="63"/>
      <c r="E948" s="63"/>
      <c r="F948" s="63"/>
      <c r="G948" s="63"/>
      <c r="H948" s="63"/>
      <c r="I948" s="63"/>
      <c r="J948" s="63"/>
      <c r="K948" s="63"/>
      <c r="L948" s="63"/>
      <c r="M948" s="168"/>
      <c r="N948" s="63"/>
      <c r="O948" s="64"/>
      <c r="P948" s="64"/>
      <c r="Q948" s="64"/>
      <c r="R948" s="64"/>
      <c r="S948" s="64"/>
      <c r="T948" s="64"/>
      <c r="U948" s="64"/>
      <c r="V948" s="64"/>
      <c r="W948" s="64"/>
      <c r="X948" s="64"/>
      <c r="Y948" s="137"/>
      <c r="Z948" s="137"/>
      <c r="AA948" s="137"/>
      <c r="AB948" s="137"/>
      <c r="AC948" s="137"/>
    </row>
    <row r="949" spans="3:29" ht="15.75" customHeight="1">
      <c r="C949" s="63"/>
      <c r="D949" s="63"/>
      <c r="E949" s="63"/>
      <c r="F949" s="63"/>
      <c r="G949" s="63"/>
      <c r="H949" s="63"/>
      <c r="I949" s="63"/>
      <c r="J949" s="63"/>
      <c r="K949" s="63"/>
      <c r="L949" s="63"/>
      <c r="M949" s="168"/>
      <c r="N949" s="63"/>
      <c r="O949" s="64"/>
      <c r="P949" s="64"/>
      <c r="Q949" s="64"/>
      <c r="R949" s="64"/>
      <c r="S949" s="64"/>
      <c r="T949" s="64"/>
      <c r="U949" s="64"/>
      <c r="V949" s="64"/>
      <c r="W949" s="64"/>
      <c r="X949" s="64"/>
      <c r="Y949" s="137"/>
      <c r="Z949" s="137"/>
      <c r="AA949" s="137"/>
      <c r="AB949" s="137"/>
      <c r="AC949" s="137"/>
    </row>
    <row r="950" spans="3:29" ht="15.75" customHeight="1">
      <c r="C950" s="63"/>
      <c r="D950" s="63"/>
      <c r="E950" s="63"/>
      <c r="F950" s="63"/>
      <c r="G950" s="63"/>
      <c r="H950" s="63"/>
      <c r="I950" s="63"/>
      <c r="J950" s="63"/>
      <c r="K950" s="63"/>
      <c r="L950" s="63"/>
      <c r="M950" s="168"/>
      <c r="N950" s="63"/>
      <c r="O950" s="64"/>
      <c r="P950" s="64"/>
      <c r="Q950" s="64"/>
      <c r="R950" s="64"/>
      <c r="S950" s="64"/>
      <c r="T950" s="64"/>
      <c r="U950" s="64"/>
      <c r="V950" s="64"/>
      <c r="W950" s="64"/>
      <c r="X950" s="64"/>
      <c r="Y950" s="137"/>
      <c r="Z950" s="137"/>
      <c r="AA950" s="137"/>
      <c r="AB950" s="137"/>
      <c r="AC950" s="137"/>
    </row>
    <row r="951" spans="3:29" ht="15.75" customHeight="1">
      <c r="C951" s="63"/>
      <c r="D951" s="63"/>
      <c r="E951" s="63"/>
      <c r="F951" s="63"/>
      <c r="G951" s="63"/>
      <c r="H951" s="63"/>
      <c r="I951" s="63"/>
      <c r="J951" s="63"/>
      <c r="K951" s="63"/>
      <c r="L951" s="63"/>
      <c r="M951" s="168"/>
      <c r="N951" s="63"/>
      <c r="O951" s="64"/>
      <c r="P951" s="64"/>
      <c r="Q951" s="64"/>
      <c r="R951" s="64"/>
      <c r="S951" s="64"/>
      <c r="T951" s="64"/>
      <c r="U951" s="64"/>
      <c r="V951" s="64"/>
      <c r="W951" s="64"/>
      <c r="X951" s="64"/>
      <c r="Y951" s="137"/>
      <c r="Z951" s="137"/>
      <c r="AA951" s="137"/>
      <c r="AB951" s="137"/>
      <c r="AC951" s="137"/>
    </row>
    <row r="952" spans="3:29" ht="15.75" customHeight="1">
      <c r="C952" s="63"/>
      <c r="D952" s="63"/>
      <c r="E952" s="63"/>
      <c r="F952" s="63"/>
      <c r="G952" s="63"/>
      <c r="H952" s="63"/>
      <c r="I952" s="63"/>
      <c r="J952" s="63"/>
      <c r="K952" s="63"/>
      <c r="L952" s="63"/>
      <c r="M952" s="168"/>
      <c r="N952" s="63"/>
      <c r="O952" s="64"/>
      <c r="P952" s="64"/>
      <c r="Q952" s="64"/>
      <c r="R952" s="64"/>
      <c r="S952" s="64"/>
      <c r="T952" s="64"/>
      <c r="U952" s="64"/>
      <c r="V952" s="64"/>
      <c r="W952" s="64"/>
      <c r="X952" s="64"/>
      <c r="Y952" s="137"/>
      <c r="Z952" s="137"/>
      <c r="AA952" s="137"/>
      <c r="AB952" s="137"/>
      <c r="AC952" s="137"/>
    </row>
    <row r="953" spans="3:29" ht="15.75" customHeight="1">
      <c r="C953" s="63"/>
      <c r="D953" s="63"/>
      <c r="E953" s="63"/>
      <c r="F953" s="63"/>
      <c r="G953" s="63"/>
      <c r="H953" s="63"/>
      <c r="I953" s="63"/>
      <c r="J953" s="63"/>
      <c r="K953" s="63"/>
      <c r="L953" s="63"/>
      <c r="M953" s="168"/>
      <c r="N953" s="63"/>
      <c r="O953" s="64"/>
      <c r="P953" s="64"/>
      <c r="Q953" s="64"/>
      <c r="R953" s="64"/>
      <c r="S953" s="64"/>
      <c r="T953" s="64"/>
      <c r="U953" s="64"/>
      <c r="V953" s="64"/>
      <c r="W953" s="64"/>
      <c r="X953" s="64"/>
      <c r="Y953" s="137"/>
      <c r="Z953" s="137"/>
      <c r="AA953" s="137"/>
      <c r="AB953" s="137"/>
      <c r="AC953" s="137"/>
    </row>
    <row r="954" spans="3:29" ht="15.75" customHeight="1">
      <c r="C954" s="63"/>
      <c r="D954" s="63"/>
      <c r="E954" s="63"/>
      <c r="F954" s="63"/>
      <c r="G954" s="63"/>
      <c r="H954" s="63"/>
      <c r="I954" s="63"/>
      <c r="J954" s="63"/>
      <c r="K954" s="63"/>
      <c r="L954" s="63"/>
      <c r="M954" s="168"/>
      <c r="N954" s="63"/>
      <c r="O954" s="64"/>
      <c r="P954" s="64"/>
      <c r="Q954" s="64"/>
      <c r="R954" s="64"/>
      <c r="S954" s="64"/>
      <c r="T954" s="64"/>
      <c r="U954" s="64"/>
      <c r="V954" s="64"/>
      <c r="W954" s="64"/>
      <c r="X954" s="64"/>
      <c r="Y954" s="137"/>
      <c r="Z954" s="137"/>
      <c r="AA954" s="137"/>
      <c r="AB954" s="137"/>
      <c r="AC954" s="137"/>
    </row>
    <row r="955" spans="3:29" ht="15.75" customHeight="1">
      <c r="C955" s="63"/>
      <c r="D955" s="63"/>
      <c r="E955" s="63"/>
      <c r="F955" s="63"/>
      <c r="G955" s="63"/>
      <c r="H955" s="63"/>
      <c r="I955" s="63"/>
      <c r="J955" s="63"/>
      <c r="K955" s="63"/>
      <c r="L955" s="63"/>
      <c r="M955" s="168"/>
      <c r="N955" s="63"/>
      <c r="O955" s="64"/>
      <c r="P955" s="64"/>
      <c r="Q955" s="64"/>
      <c r="R955" s="64"/>
      <c r="S955" s="64"/>
      <c r="T955" s="64"/>
      <c r="U955" s="64"/>
      <c r="V955" s="64"/>
      <c r="W955" s="64"/>
      <c r="X955" s="64"/>
      <c r="Y955" s="137"/>
      <c r="Z955" s="137"/>
      <c r="AA955" s="137"/>
      <c r="AB955" s="137"/>
      <c r="AC955" s="137"/>
    </row>
    <row r="956" spans="3:29" ht="15.75" customHeight="1">
      <c r="C956" s="63"/>
      <c r="D956" s="63"/>
      <c r="E956" s="63"/>
      <c r="F956" s="63"/>
      <c r="G956" s="63"/>
      <c r="H956" s="63"/>
      <c r="I956" s="63"/>
      <c r="J956" s="63"/>
      <c r="K956" s="63"/>
      <c r="L956" s="63"/>
      <c r="M956" s="168"/>
      <c r="N956" s="63"/>
      <c r="O956" s="64"/>
      <c r="P956" s="64"/>
      <c r="Q956" s="64"/>
      <c r="R956" s="64"/>
      <c r="S956" s="64"/>
      <c r="T956" s="64"/>
      <c r="U956" s="64"/>
      <c r="V956" s="64"/>
      <c r="W956" s="64"/>
      <c r="X956" s="64"/>
      <c r="Y956" s="137"/>
      <c r="Z956" s="137"/>
      <c r="AA956" s="137"/>
      <c r="AB956" s="137"/>
      <c r="AC956" s="137"/>
    </row>
    <row r="957" spans="3:29" ht="15.75" customHeight="1">
      <c r="C957" s="63"/>
      <c r="D957" s="63"/>
      <c r="E957" s="63"/>
      <c r="F957" s="63"/>
      <c r="G957" s="63"/>
      <c r="H957" s="63"/>
      <c r="I957" s="63"/>
      <c r="J957" s="63"/>
      <c r="K957" s="63"/>
      <c r="L957" s="63"/>
      <c r="M957" s="168"/>
      <c r="N957" s="63"/>
      <c r="O957" s="64"/>
      <c r="P957" s="64"/>
      <c r="Q957" s="64"/>
      <c r="R957" s="64"/>
      <c r="S957" s="64"/>
      <c r="T957" s="64"/>
      <c r="U957" s="64"/>
      <c r="V957" s="64"/>
      <c r="W957" s="64"/>
      <c r="X957" s="64"/>
      <c r="Y957" s="137"/>
      <c r="Z957" s="137"/>
      <c r="AA957" s="137"/>
      <c r="AB957" s="137"/>
      <c r="AC957" s="137"/>
    </row>
    <row r="958" spans="3:29" ht="15.75" customHeight="1">
      <c r="C958" s="63"/>
      <c r="D958" s="63"/>
      <c r="E958" s="63"/>
      <c r="F958" s="63"/>
      <c r="G958" s="63"/>
      <c r="H958" s="63"/>
      <c r="I958" s="63"/>
      <c r="J958" s="63"/>
      <c r="K958" s="63"/>
      <c r="L958" s="63"/>
      <c r="M958" s="168"/>
      <c r="N958" s="63"/>
      <c r="O958" s="64"/>
      <c r="P958" s="64"/>
      <c r="Q958" s="64"/>
      <c r="R958" s="64"/>
      <c r="S958" s="64"/>
      <c r="T958" s="64"/>
      <c r="U958" s="64"/>
      <c r="V958" s="64"/>
      <c r="W958" s="64"/>
      <c r="X958" s="64"/>
      <c r="Y958" s="137"/>
      <c r="Z958" s="137"/>
      <c r="AA958" s="137"/>
      <c r="AB958" s="137"/>
      <c r="AC958" s="137"/>
    </row>
    <row r="959" spans="3:29" ht="15.75" customHeight="1">
      <c r="C959" s="63"/>
      <c r="D959" s="63"/>
      <c r="E959" s="63"/>
      <c r="F959" s="63"/>
      <c r="G959" s="63"/>
      <c r="H959" s="63"/>
      <c r="I959" s="63"/>
      <c r="J959" s="63"/>
      <c r="K959" s="63"/>
      <c r="L959" s="63"/>
      <c r="M959" s="168"/>
      <c r="N959" s="63"/>
      <c r="O959" s="64"/>
      <c r="P959" s="64"/>
      <c r="Q959" s="64"/>
      <c r="R959" s="64"/>
      <c r="S959" s="64"/>
      <c r="T959" s="64"/>
      <c r="U959" s="64"/>
      <c r="V959" s="64"/>
      <c r="W959" s="64"/>
      <c r="X959" s="64"/>
      <c r="Y959" s="137"/>
      <c r="Z959" s="137"/>
      <c r="AA959" s="137"/>
      <c r="AB959" s="137"/>
      <c r="AC959" s="137"/>
    </row>
    <row r="960" spans="3:29" ht="15.75" customHeight="1">
      <c r="C960" s="63"/>
      <c r="D960" s="63"/>
      <c r="E960" s="63"/>
      <c r="F960" s="63"/>
      <c r="G960" s="63"/>
      <c r="H960" s="63"/>
      <c r="I960" s="63"/>
      <c r="J960" s="63"/>
      <c r="K960" s="63"/>
      <c r="L960" s="63"/>
      <c r="M960" s="168"/>
      <c r="N960" s="63"/>
      <c r="O960" s="64"/>
      <c r="P960" s="64"/>
      <c r="Q960" s="64"/>
      <c r="R960" s="64"/>
      <c r="S960" s="64"/>
      <c r="T960" s="64"/>
      <c r="U960" s="64"/>
      <c r="V960" s="64"/>
      <c r="W960" s="64"/>
      <c r="X960" s="64"/>
      <c r="Y960" s="137"/>
      <c r="Z960" s="137"/>
      <c r="AA960" s="137"/>
      <c r="AB960" s="137"/>
      <c r="AC960" s="137"/>
    </row>
    <row r="961" spans="3:29" ht="15.75" customHeight="1">
      <c r="C961" s="63"/>
      <c r="D961" s="63"/>
      <c r="E961" s="63"/>
      <c r="F961" s="63"/>
      <c r="G961" s="63"/>
      <c r="H961" s="63"/>
      <c r="I961" s="63"/>
      <c r="J961" s="63"/>
      <c r="K961" s="63"/>
      <c r="L961" s="63"/>
      <c r="M961" s="168"/>
      <c r="N961" s="63"/>
      <c r="O961" s="64"/>
      <c r="P961" s="64"/>
      <c r="Q961" s="64"/>
      <c r="R961" s="64"/>
      <c r="S961" s="64"/>
      <c r="T961" s="64"/>
      <c r="U961" s="64"/>
      <c r="V961" s="64"/>
      <c r="W961" s="64"/>
      <c r="X961" s="64"/>
      <c r="Y961" s="137"/>
      <c r="Z961" s="137"/>
      <c r="AA961" s="137"/>
      <c r="AB961" s="137"/>
      <c r="AC961" s="137"/>
    </row>
    <row r="962" spans="3:29" ht="15.75" customHeight="1">
      <c r="C962" s="63"/>
      <c r="D962" s="63"/>
      <c r="E962" s="63"/>
      <c r="F962" s="63"/>
      <c r="G962" s="63"/>
      <c r="H962" s="63"/>
      <c r="I962" s="63"/>
      <c r="J962" s="63"/>
      <c r="K962" s="63"/>
      <c r="L962" s="63"/>
      <c r="M962" s="168"/>
      <c r="N962" s="63"/>
      <c r="O962" s="64"/>
      <c r="P962" s="64"/>
      <c r="Q962" s="64"/>
      <c r="R962" s="64"/>
      <c r="S962" s="64"/>
      <c r="T962" s="64"/>
      <c r="U962" s="64"/>
      <c r="V962" s="64"/>
      <c r="W962" s="64"/>
      <c r="X962" s="64"/>
      <c r="Y962" s="137"/>
      <c r="Z962" s="137"/>
      <c r="AA962" s="137"/>
      <c r="AB962" s="137"/>
      <c r="AC962" s="137"/>
    </row>
    <row r="963" spans="3:29" ht="15.75" customHeight="1">
      <c r="C963" s="63"/>
      <c r="D963" s="63"/>
      <c r="E963" s="63"/>
      <c r="F963" s="63"/>
      <c r="G963" s="63"/>
      <c r="H963" s="63"/>
      <c r="I963" s="63"/>
      <c r="J963" s="63"/>
      <c r="K963" s="63"/>
      <c r="L963" s="63"/>
      <c r="M963" s="168"/>
      <c r="N963" s="63"/>
      <c r="O963" s="64"/>
      <c r="P963" s="64"/>
      <c r="Q963" s="64"/>
      <c r="R963" s="64"/>
      <c r="S963" s="64"/>
      <c r="T963" s="64"/>
      <c r="U963" s="64"/>
      <c r="V963" s="64"/>
      <c r="W963" s="64"/>
      <c r="X963" s="64"/>
      <c r="Y963" s="137"/>
      <c r="Z963" s="137"/>
      <c r="AA963" s="137"/>
      <c r="AB963" s="137"/>
      <c r="AC963" s="137"/>
    </row>
    <row r="964" spans="3:29" ht="15.75" customHeight="1">
      <c r="C964" s="63"/>
      <c r="D964" s="63"/>
      <c r="E964" s="63"/>
      <c r="F964" s="63"/>
      <c r="G964" s="63"/>
      <c r="H964" s="63"/>
      <c r="I964" s="63"/>
      <c r="J964" s="63"/>
      <c r="K964" s="63"/>
      <c r="L964" s="63"/>
      <c r="M964" s="168"/>
      <c r="N964" s="63"/>
      <c r="O964" s="64"/>
      <c r="P964" s="64"/>
      <c r="Q964" s="64"/>
      <c r="R964" s="64"/>
      <c r="S964" s="64"/>
      <c r="T964" s="64"/>
      <c r="U964" s="64"/>
      <c r="V964" s="64"/>
      <c r="W964" s="64"/>
      <c r="X964" s="64"/>
      <c r="Y964" s="137"/>
      <c r="Z964" s="137"/>
      <c r="AA964" s="137"/>
      <c r="AB964" s="137"/>
      <c r="AC964" s="137"/>
    </row>
    <row r="965" spans="3:29" ht="15.75" customHeight="1">
      <c r="C965" s="63"/>
      <c r="D965" s="63"/>
      <c r="E965" s="63"/>
      <c r="F965" s="63"/>
      <c r="G965" s="63"/>
      <c r="H965" s="63"/>
      <c r="I965" s="63"/>
      <c r="J965" s="63"/>
      <c r="K965" s="63"/>
      <c r="L965" s="63"/>
      <c r="M965" s="168"/>
      <c r="N965" s="63"/>
      <c r="O965" s="64"/>
      <c r="P965" s="64"/>
      <c r="Q965" s="64"/>
      <c r="R965" s="64"/>
      <c r="S965" s="64"/>
      <c r="T965" s="64"/>
      <c r="U965" s="64"/>
      <c r="V965" s="64"/>
      <c r="W965" s="64"/>
      <c r="X965" s="64"/>
      <c r="Y965" s="137"/>
      <c r="Z965" s="137"/>
      <c r="AA965" s="137"/>
      <c r="AB965" s="137"/>
      <c r="AC965" s="137"/>
    </row>
    <row r="966" spans="3:29" ht="15.75" customHeight="1">
      <c r="C966" s="63"/>
      <c r="D966" s="63"/>
      <c r="E966" s="63"/>
      <c r="F966" s="63"/>
      <c r="G966" s="63"/>
      <c r="H966" s="63"/>
      <c r="I966" s="63"/>
      <c r="J966" s="63"/>
      <c r="K966" s="63"/>
      <c r="L966" s="63"/>
      <c r="M966" s="168"/>
      <c r="N966" s="63"/>
      <c r="O966" s="64"/>
      <c r="P966" s="64"/>
      <c r="Q966" s="64"/>
      <c r="R966" s="64"/>
      <c r="S966" s="64"/>
      <c r="T966" s="64"/>
      <c r="U966" s="64"/>
      <c r="V966" s="64"/>
      <c r="W966" s="64"/>
      <c r="X966" s="64"/>
      <c r="Y966" s="137"/>
      <c r="Z966" s="137"/>
      <c r="AA966" s="137"/>
      <c r="AB966" s="137"/>
      <c r="AC966" s="137"/>
    </row>
    <row r="967" spans="3:29" ht="15.75" customHeight="1">
      <c r="C967" s="63"/>
      <c r="D967" s="63"/>
      <c r="E967" s="63"/>
      <c r="F967" s="63"/>
      <c r="G967" s="63"/>
      <c r="H967" s="63"/>
      <c r="I967" s="63"/>
      <c r="J967" s="63"/>
      <c r="K967" s="63"/>
      <c r="L967" s="63"/>
      <c r="M967" s="168"/>
      <c r="N967" s="63"/>
      <c r="O967" s="64"/>
      <c r="P967" s="64"/>
      <c r="Q967" s="64"/>
      <c r="R967" s="64"/>
      <c r="S967" s="64"/>
      <c r="T967" s="64"/>
      <c r="U967" s="64"/>
      <c r="V967" s="64"/>
      <c r="W967" s="64"/>
      <c r="X967" s="64"/>
      <c r="Y967" s="137"/>
      <c r="Z967" s="137"/>
      <c r="AA967" s="137"/>
      <c r="AB967" s="137"/>
      <c r="AC967" s="137"/>
    </row>
    <row r="968" spans="3:29" ht="15.75" customHeight="1">
      <c r="C968" s="63"/>
      <c r="D968" s="63"/>
      <c r="E968" s="63"/>
      <c r="F968" s="63"/>
      <c r="G968" s="63"/>
      <c r="H968" s="63"/>
      <c r="I968" s="63"/>
      <c r="J968" s="63"/>
      <c r="K968" s="63"/>
      <c r="L968" s="63"/>
      <c r="M968" s="168"/>
      <c r="N968" s="63"/>
      <c r="O968" s="64"/>
      <c r="P968" s="64"/>
      <c r="Q968" s="64"/>
      <c r="R968" s="64"/>
      <c r="S968" s="64"/>
      <c r="T968" s="64"/>
      <c r="U968" s="64"/>
      <c r="V968" s="64"/>
      <c r="W968" s="64"/>
      <c r="X968" s="64"/>
      <c r="Y968" s="137"/>
      <c r="Z968" s="137"/>
      <c r="AA968" s="137"/>
      <c r="AB968" s="137"/>
      <c r="AC968" s="137"/>
    </row>
    <row r="969" spans="3:29" ht="15.75" customHeight="1">
      <c r="C969" s="63"/>
      <c r="D969" s="63"/>
      <c r="E969" s="63"/>
      <c r="F969" s="63"/>
      <c r="G969" s="63"/>
      <c r="H969" s="63"/>
      <c r="I969" s="63"/>
      <c r="J969" s="63"/>
      <c r="K969" s="63"/>
      <c r="L969" s="63"/>
      <c r="M969" s="168"/>
      <c r="N969" s="63"/>
      <c r="O969" s="64"/>
      <c r="P969" s="64"/>
      <c r="Q969" s="64"/>
      <c r="R969" s="64"/>
      <c r="S969" s="64"/>
      <c r="T969" s="64"/>
      <c r="U969" s="64"/>
      <c r="V969" s="64"/>
      <c r="W969" s="64"/>
      <c r="X969" s="64"/>
      <c r="Y969" s="137"/>
      <c r="Z969" s="137"/>
      <c r="AA969" s="137"/>
      <c r="AB969" s="137"/>
      <c r="AC969" s="137"/>
    </row>
    <row r="970" spans="3:29" ht="15.75" customHeight="1">
      <c r="C970" s="63"/>
      <c r="D970" s="63"/>
      <c r="E970" s="63"/>
      <c r="F970" s="63"/>
      <c r="G970" s="63"/>
      <c r="H970" s="63"/>
      <c r="I970" s="63"/>
      <c r="J970" s="63"/>
      <c r="K970" s="63"/>
      <c r="L970" s="63"/>
      <c r="M970" s="168"/>
      <c r="N970" s="63"/>
      <c r="O970" s="64"/>
      <c r="P970" s="64"/>
      <c r="Q970" s="64"/>
      <c r="R970" s="64"/>
      <c r="S970" s="64"/>
      <c r="T970" s="64"/>
      <c r="U970" s="64"/>
      <c r="V970" s="64"/>
      <c r="W970" s="64"/>
      <c r="X970" s="64"/>
      <c r="Y970" s="137"/>
      <c r="Z970" s="137"/>
      <c r="AA970" s="137"/>
      <c r="AB970" s="137"/>
      <c r="AC970" s="137"/>
    </row>
    <row r="971" spans="3:29" ht="15.75" customHeight="1">
      <c r="C971" s="63"/>
      <c r="D971" s="63"/>
      <c r="E971" s="63"/>
      <c r="F971" s="63"/>
      <c r="G971" s="63"/>
      <c r="H971" s="63"/>
      <c r="I971" s="63"/>
      <c r="J971" s="63"/>
      <c r="K971" s="63"/>
      <c r="L971" s="63"/>
      <c r="M971" s="168"/>
      <c r="N971" s="63"/>
      <c r="O971" s="64"/>
      <c r="P971" s="64"/>
      <c r="Q971" s="64"/>
      <c r="R971" s="64"/>
      <c r="S971" s="64"/>
      <c r="T971" s="64"/>
      <c r="U971" s="64"/>
      <c r="V971" s="64"/>
      <c r="W971" s="64"/>
      <c r="X971" s="64"/>
      <c r="Y971" s="137"/>
      <c r="Z971" s="137"/>
      <c r="AA971" s="137"/>
      <c r="AB971" s="137"/>
      <c r="AC971" s="137"/>
    </row>
    <row r="972" spans="3:29" ht="15.75" customHeight="1">
      <c r="C972" s="63"/>
      <c r="D972" s="63"/>
      <c r="E972" s="63"/>
      <c r="F972" s="63"/>
      <c r="G972" s="63"/>
      <c r="H972" s="63"/>
      <c r="I972" s="63"/>
      <c r="J972" s="63"/>
      <c r="K972" s="63"/>
      <c r="L972" s="63"/>
      <c r="M972" s="168"/>
      <c r="N972" s="63"/>
      <c r="O972" s="64"/>
      <c r="P972" s="64"/>
      <c r="Q972" s="64"/>
      <c r="R972" s="64"/>
      <c r="S972" s="64"/>
      <c r="T972" s="64"/>
      <c r="U972" s="64"/>
      <c r="V972" s="64"/>
      <c r="W972" s="64"/>
      <c r="X972" s="64"/>
      <c r="Y972" s="137"/>
      <c r="Z972" s="137"/>
      <c r="AA972" s="137"/>
      <c r="AB972" s="137"/>
      <c r="AC972" s="137"/>
    </row>
    <row r="973" spans="3:29" ht="15.75" customHeight="1">
      <c r="C973" s="63"/>
      <c r="D973" s="63"/>
      <c r="E973" s="63"/>
      <c r="F973" s="63"/>
      <c r="G973" s="63"/>
      <c r="H973" s="63"/>
      <c r="I973" s="63"/>
      <c r="J973" s="63"/>
      <c r="K973" s="63"/>
      <c r="L973" s="63"/>
      <c r="M973" s="168"/>
      <c r="N973" s="63"/>
      <c r="O973" s="64"/>
      <c r="P973" s="64"/>
      <c r="Q973" s="64"/>
      <c r="R973" s="64"/>
      <c r="S973" s="64"/>
      <c r="T973" s="64"/>
      <c r="U973" s="64"/>
      <c r="V973" s="64"/>
      <c r="W973" s="64"/>
      <c r="X973" s="64"/>
      <c r="Y973" s="137"/>
      <c r="Z973" s="137"/>
      <c r="AA973" s="137"/>
      <c r="AB973" s="137"/>
      <c r="AC973" s="137"/>
    </row>
    <row r="974" spans="3:29" ht="15.75" customHeight="1">
      <c r="C974" s="63"/>
      <c r="D974" s="63"/>
      <c r="E974" s="63"/>
      <c r="F974" s="63"/>
      <c r="G974" s="63"/>
      <c r="H974" s="63"/>
      <c r="I974" s="63"/>
      <c r="J974" s="63"/>
      <c r="K974" s="63"/>
      <c r="L974" s="63"/>
      <c r="M974" s="168"/>
      <c r="N974" s="63"/>
      <c r="O974" s="64"/>
      <c r="P974" s="64"/>
      <c r="Q974" s="64"/>
      <c r="R974" s="64"/>
      <c r="S974" s="64"/>
      <c r="T974" s="64"/>
      <c r="U974" s="64"/>
      <c r="V974" s="64"/>
      <c r="W974" s="64"/>
      <c r="X974" s="64"/>
      <c r="Y974" s="137"/>
      <c r="Z974" s="137"/>
      <c r="AA974" s="137"/>
      <c r="AB974" s="137"/>
      <c r="AC974" s="137"/>
    </row>
    <row r="975" spans="3:29" ht="15.75" customHeight="1">
      <c r="C975" s="63"/>
      <c r="D975" s="63"/>
      <c r="E975" s="63"/>
      <c r="F975" s="63"/>
      <c r="G975" s="63"/>
      <c r="H975" s="63"/>
      <c r="I975" s="63"/>
      <c r="J975" s="63"/>
      <c r="K975" s="63"/>
      <c r="L975" s="63"/>
      <c r="M975" s="168"/>
      <c r="N975" s="63"/>
      <c r="O975" s="64"/>
      <c r="P975" s="64"/>
      <c r="Q975" s="64"/>
      <c r="R975" s="64"/>
      <c r="S975" s="64"/>
      <c r="T975" s="64"/>
      <c r="U975" s="64"/>
      <c r="V975" s="64"/>
      <c r="W975" s="64"/>
      <c r="X975" s="64"/>
      <c r="Y975" s="137"/>
      <c r="Z975" s="137"/>
      <c r="AA975" s="137"/>
      <c r="AB975" s="137"/>
      <c r="AC975" s="137"/>
    </row>
    <row r="976" spans="3:29" ht="15.75" customHeight="1">
      <c r="C976" s="63"/>
      <c r="D976" s="63"/>
      <c r="E976" s="63"/>
      <c r="F976" s="63"/>
      <c r="G976" s="63"/>
      <c r="H976" s="63"/>
      <c r="I976" s="63"/>
      <c r="J976" s="63"/>
      <c r="K976" s="63"/>
      <c r="L976" s="63"/>
      <c r="M976" s="168"/>
      <c r="N976" s="63"/>
      <c r="O976" s="64"/>
      <c r="P976" s="64"/>
      <c r="Q976" s="64"/>
      <c r="R976" s="64"/>
      <c r="S976" s="64"/>
      <c r="T976" s="64"/>
      <c r="U976" s="64"/>
      <c r="V976" s="64"/>
      <c r="W976" s="64"/>
      <c r="X976" s="64"/>
      <c r="Y976" s="137"/>
      <c r="Z976" s="137"/>
      <c r="AA976" s="137"/>
      <c r="AB976" s="137"/>
      <c r="AC976" s="137"/>
    </row>
    <row r="977" spans="3:29" ht="15.75" customHeight="1">
      <c r="C977" s="63"/>
      <c r="D977" s="63"/>
      <c r="E977" s="63"/>
      <c r="F977" s="63"/>
      <c r="G977" s="63"/>
      <c r="H977" s="63"/>
      <c r="I977" s="63"/>
      <c r="J977" s="63"/>
      <c r="K977" s="63"/>
      <c r="L977" s="63"/>
      <c r="M977" s="168"/>
      <c r="N977" s="63"/>
      <c r="O977" s="64"/>
      <c r="P977" s="64"/>
      <c r="Q977" s="64"/>
      <c r="R977" s="64"/>
      <c r="S977" s="64"/>
      <c r="T977" s="64"/>
      <c r="U977" s="64"/>
      <c r="V977" s="64"/>
      <c r="W977" s="64"/>
      <c r="X977" s="64"/>
      <c r="Y977" s="137"/>
      <c r="Z977" s="137"/>
      <c r="AA977" s="137"/>
      <c r="AB977" s="137"/>
      <c r="AC977" s="137"/>
    </row>
    <row r="978" spans="3:29" ht="15.75" customHeight="1">
      <c r="C978" s="63"/>
      <c r="D978" s="63"/>
      <c r="E978" s="63"/>
      <c r="F978" s="63"/>
      <c r="G978" s="63"/>
      <c r="H978" s="63"/>
      <c r="I978" s="63"/>
      <c r="J978" s="63"/>
      <c r="K978" s="63"/>
      <c r="L978" s="63"/>
      <c r="M978" s="168"/>
      <c r="N978" s="63"/>
      <c r="O978" s="64"/>
      <c r="P978" s="64"/>
      <c r="Q978" s="64"/>
      <c r="R978" s="64"/>
      <c r="S978" s="64"/>
      <c r="T978" s="64"/>
      <c r="U978" s="64"/>
      <c r="V978" s="64"/>
      <c r="W978" s="64"/>
      <c r="X978" s="64"/>
      <c r="Y978" s="137"/>
      <c r="Z978" s="137"/>
      <c r="AA978" s="137"/>
      <c r="AB978" s="137"/>
      <c r="AC978" s="137"/>
    </row>
    <row r="979" spans="3:29" ht="15.75" customHeight="1">
      <c r="C979" s="63"/>
      <c r="D979" s="63"/>
      <c r="E979" s="63"/>
      <c r="F979" s="63"/>
      <c r="G979" s="63"/>
      <c r="H979" s="63"/>
      <c r="I979" s="63"/>
      <c r="J979" s="63"/>
      <c r="K979" s="63"/>
      <c r="L979" s="63"/>
      <c r="M979" s="168"/>
      <c r="N979" s="63"/>
      <c r="O979" s="64"/>
      <c r="P979" s="64"/>
      <c r="Q979" s="64"/>
      <c r="R979" s="64"/>
      <c r="S979" s="64"/>
      <c r="T979" s="64"/>
      <c r="U979" s="64"/>
      <c r="V979" s="64"/>
      <c r="W979" s="64"/>
      <c r="X979" s="64"/>
      <c r="Y979" s="137"/>
      <c r="Z979" s="137"/>
      <c r="AA979" s="137"/>
      <c r="AB979" s="137"/>
      <c r="AC979" s="137"/>
    </row>
    <row r="980" spans="3:29" ht="15.75" customHeight="1">
      <c r="C980" s="63"/>
      <c r="D980" s="63"/>
      <c r="E980" s="63"/>
      <c r="F980" s="63"/>
      <c r="G980" s="63"/>
      <c r="H980" s="63"/>
      <c r="I980" s="63"/>
      <c r="J980" s="63"/>
      <c r="K980" s="63"/>
      <c r="L980" s="63"/>
      <c r="M980" s="168"/>
      <c r="N980" s="63"/>
      <c r="O980" s="64"/>
      <c r="P980" s="64"/>
      <c r="Q980" s="64"/>
      <c r="R980" s="64"/>
      <c r="S980" s="64"/>
      <c r="T980" s="64"/>
      <c r="U980" s="64"/>
      <c r="V980" s="64"/>
      <c r="W980" s="64"/>
      <c r="X980" s="64"/>
      <c r="Y980" s="137"/>
      <c r="Z980" s="137"/>
      <c r="AA980" s="137"/>
      <c r="AB980" s="137"/>
      <c r="AC980" s="137"/>
    </row>
    <row r="981" spans="3:29" ht="15.75" customHeight="1">
      <c r="C981" s="63"/>
      <c r="D981" s="63"/>
      <c r="E981" s="63"/>
      <c r="F981" s="63"/>
      <c r="G981" s="63"/>
      <c r="H981" s="63"/>
      <c r="I981" s="63"/>
      <c r="J981" s="63"/>
      <c r="K981" s="63"/>
      <c r="L981" s="63"/>
      <c r="M981" s="168"/>
      <c r="N981" s="63"/>
      <c r="O981" s="64"/>
      <c r="P981" s="64"/>
      <c r="Q981" s="64"/>
      <c r="R981" s="64"/>
      <c r="S981" s="64"/>
      <c r="T981" s="64"/>
      <c r="U981" s="64"/>
      <c r="V981" s="64"/>
      <c r="W981" s="64"/>
      <c r="X981" s="64"/>
      <c r="Y981" s="137"/>
      <c r="Z981" s="137"/>
      <c r="AA981" s="137"/>
      <c r="AB981" s="137"/>
      <c r="AC981" s="137"/>
    </row>
    <row r="982" spans="3:29" ht="15.75" customHeight="1">
      <c r="C982" s="63"/>
      <c r="D982" s="63"/>
      <c r="E982" s="63"/>
      <c r="F982" s="63"/>
      <c r="G982" s="63"/>
      <c r="H982" s="63"/>
      <c r="I982" s="63"/>
      <c r="J982" s="63"/>
      <c r="K982" s="63"/>
      <c r="L982" s="63"/>
      <c r="M982" s="168"/>
      <c r="N982" s="63"/>
      <c r="O982" s="64"/>
      <c r="P982" s="64"/>
      <c r="Q982" s="64"/>
      <c r="R982" s="64"/>
      <c r="S982" s="64"/>
      <c r="T982" s="64"/>
      <c r="U982" s="64"/>
      <c r="V982" s="64"/>
      <c r="W982" s="64"/>
      <c r="X982" s="64"/>
      <c r="Y982" s="137"/>
      <c r="Z982" s="137"/>
      <c r="AA982" s="137"/>
      <c r="AB982" s="137"/>
      <c r="AC982" s="137"/>
    </row>
    <row r="983" spans="3:29" ht="15.75" customHeight="1">
      <c r="C983" s="63"/>
      <c r="D983" s="63"/>
      <c r="E983" s="63"/>
      <c r="F983" s="63"/>
      <c r="G983" s="63"/>
      <c r="H983" s="63"/>
      <c r="I983" s="63"/>
      <c r="J983" s="63"/>
      <c r="K983" s="63"/>
      <c r="L983" s="63"/>
      <c r="M983" s="168"/>
      <c r="N983" s="63"/>
      <c r="O983" s="64"/>
      <c r="P983" s="64"/>
      <c r="Q983" s="64"/>
      <c r="R983" s="64"/>
      <c r="S983" s="64"/>
      <c r="T983" s="64"/>
      <c r="U983" s="64"/>
      <c r="V983" s="64"/>
      <c r="W983" s="64"/>
      <c r="X983" s="64"/>
      <c r="Y983" s="137"/>
      <c r="Z983" s="137"/>
      <c r="AA983" s="137"/>
      <c r="AB983" s="137"/>
      <c r="AC983" s="137"/>
    </row>
    <row r="984" spans="3:29" ht="15.75" customHeight="1">
      <c r="C984" s="63"/>
      <c r="D984" s="63"/>
      <c r="E984" s="63"/>
      <c r="F984" s="63"/>
      <c r="G984" s="63"/>
      <c r="H984" s="63"/>
      <c r="I984" s="63"/>
      <c r="J984" s="63"/>
      <c r="K984" s="63"/>
      <c r="L984" s="63"/>
      <c r="M984" s="168"/>
      <c r="N984" s="63"/>
      <c r="O984" s="64"/>
      <c r="P984" s="64"/>
      <c r="Q984" s="64"/>
      <c r="R984" s="64"/>
      <c r="S984" s="64"/>
      <c r="T984" s="64"/>
      <c r="U984" s="64"/>
      <c r="V984" s="64"/>
      <c r="W984" s="64"/>
      <c r="X984" s="64"/>
      <c r="Y984" s="137"/>
      <c r="Z984" s="137"/>
      <c r="AA984" s="137"/>
      <c r="AB984" s="137"/>
      <c r="AC984" s="137"/>
    </row>
    <row r="985" spans="3:29" ht="15.75" customHeight="1">
      <c r="C985" s="63"/>
      <c r="D985" s="63"/>
      <c r="E985" s="63"/>
      <c r="F985" s="63"/>
      <c r="G985" s="63"/>
      <c r="H985" s="63"/>
      <c r="I985" s="63"/>
      <c r="J985" s="63"/>
      <c r="K985" s="63"/>
      <c r="L985" s="63"/>
      <c r="M985" s="168"/>
      <c r="N985" s="63"/>
      <c r="O985" s="64"/>
      <c r="P985" s="64"/>
      <c r="Q985" s="64"/>
      <c r="R985" s="64"/>
      <c r="S985" s="64"/>
      <c r="T985" s="64"/>
      <c r="U985" s="64"/>
      <c r="V985" s="64"/>
      <c r="W985" s="64"/>
      <c r="X985" s="64"/>
      <c r="Y985" s="137"/>
      <c r="Z985" s="137"/>
      <c r="AA985" s="137"/>
      <c r="AB985" s="137"/>
      <c r="AC985" s="137"/>
    </row>
    <row r="986" spans="3:29" ht="15.75" customHeight="1">
      <c r="C986" s="63"/>
      <c r="D986" s="63"/>
      <c r="E986" s="63"/>
      <c r="F986" s="63"/>
      <c r="G986" s="63"/>
      <c r="H986" s="63"/>
      <c r="I986" s="63"/>
      <c r="J986" s="63"/>
      <c r="K986" s="63"/>
      <c r="L986" s="63"/>
      <c r="M986" s="168"/>
      <c r="N986" s="63"/>
      <c r="O986" s="64"/>
      <c r="P986" s="64"/>
      <c r="Q986" s="64"/>
      <c r="R986" s="64"/>
      <c r="S986" s="64"/>
      <c r="T986" s="64"/>
      <c r="U986" s="64"/>
      <c r="V986" s="64"/>
      <c r="W986" s="64"/>
      <c r="X986" s="64"/>
      <c r="Y986" s="137"/>
      <c r="Z986" s="137"/>
      <c r="AA986" s="137"/>
      <c r="AB986" s="137"/>
      <c r="AC986" s="137"/>
    </row>
    <row r="987" spans="3:29" ht="15.75" customHeight="1">
      <c r="C987" s="63"/>
      <c r="D987" s="63"/>
      <c r="E987" s="63"/>
      <c r="F987" s="63"/>
      <c r="G987" s="63"/>
      <c r="H987" s="63"/>
      <c r="I987" s="63"/>
      <c r="J987" s="63"/>
      <c r="K987" s="63"/>
      <c r="L987" s="63"/>
      <c r="M987" s="168"/>
      <c r="N987" s="63"/>
      <c r="O987" s="64"/>
      <c r="P987" s="64"/>
      <c r="Q987" s="64"/>
      <c r="R987" s="64"/>
      <c r="S987" s="64"/>
      <c r="T987" s="64"/>
      <c r="U987" s="64"/>
      <c r="V987" s="64"/>
      <c r="W987" s="64"/>
      <c r="X987" s="64"/>
      <c r="Y987" s="137"/>
      <c r="Z987" s="137"/>
      <c r="AA987" s="137"/>
      <c r="AB987" s="137"/>
      <c r="AC987" s="137"/>
    </row>
    <row r="988" spans="3:29" ht="15.75" customHeight="1">
      <c r="C988" s="63"/>
      <c r="D988" s="63"/>
      <c r="E988" s="63"/>
      <c r="F988" s="63"/>
      <c r="G988" s="63"/>
      <c r="H988" s="63"/>
      <c r="I988" s="63"/>
      <c r="J988" s="63"/>
      <c r="K988" s="63"/>
      <c r="L988" s="63"/>
      <c r="M988" s="168"/>
      <c r="N988" s="63"/>
      <c r="O988" s="64"/>
      <c r="P988" s="64"/>
      <c r="Q988" s="64"/>
      <c r="R988" s="64"/>
      <c r="S988" s="64"/>
      <c r="T988" s="64"/>
      <c r="U988" s="64"/>
      <c r="V988" s="64"/>
      <c r="W988" s="64"/>
      <c r="X988" s="64"/>
      <c r="Y988" s="137"/>
      <c r="Z988" s="137"/>
      <c r="AA988" s="137"/>
      <c r="AB988" s="137"/>
      <c r="AC988" s="137"/>
    </row>
    <row r="989" spans="3:29" ht="15.75" customHeight="1">
      <c r="C989" s="63"/>
      <c r="D989" s="63"/>
      <c r="E989" s="63"/>
      <c r="F989" s="63"/>
      <c r="G989" s="63"/>
      <c r="H989" s="63"/>
      <c r="I989" s="63"/>
      <c r="J989" s="63"/>
      <c r="K989" s="63"/>
      <c r="L989" s="63"/>
      <c r="M989" s="168"/>
      <c r="N989" s="63"/>
      <c r="O989" s="64"/>
      <c r="P989" s="64"/>
      <c r="Q989" s="64"/>
      <c r="R989" s="64"/>
      <c r="S989" s="64"/>
      <c r="T989" s="64"/>
      <c r="U989" s="64"/>
      <c r="V989" s="64"/>
      <c r="W989" s="64"/>
      <c r="X989" s="64"/>
      <c r="Y989" s="137"/>
      <c r="Z989" s="137"/>
      <c r="AA989" s="137"/>
      <c r="AB989" s="137"/>
      <c r="AC989" s="137"/>
    </row>
    <row r="990" spans="3:29" ht="15.75" customHeight="1">
      <c r="C990" s="63"/>
      <c r="D990" s="63"/>
      <c r="E990" s="63"/>
      <c r="F990" s="63"/>
      <c r="G990" s="63"/>
      <c r="H990" s="63"/>
      <c r="I990" s="63"/>
      <c r="J990" s="63"/>
      <c r="K990" s="63"/>
      <c r="L990" s="63"/>
      <c r="M990" s="168"/>
      <c r="N990" s="63"/>
      <c r="O990" s="64"/>
      <c r="P990" s="64"/>
      <c r="Q990" s="64"/>
      <c r="R990" s="64"/>
      <c r="S990" s="64"/>
      <c r="T990" s="64"/>
      <c r="U990" s="64"/>
      <c r="V990" s="64"/>
      <c r="W990" s="64"/>
      <c r="X990" s="64"/>
      <c r="Y990" s="137"/>
      <c r="Z990" s="137"/>
      <c r="AA990" s="137"/>
      <c r="AB990" s="137"/>
      <c r="AC990" s="137"/>
    </row>
    <row r="991" spans="3:29" ht="15.75" customHeight="1">
      <c r="C991" s="63"/>
      <c r="D991" s="63"/>
      <c r="E991" s="63"/>
      <c r="F991" s="63"/>
      <c r="G991" s="63"/>
      <c r="H991" s="63"/>
      <c r="I991" s="63"/>
      <c r="J991" s="63"/>
      <c r="K991" s="63"/>
      <c r="L991" s="63"/>
      <c r="M991" s="168"/>
      <c r="N991" s="63"/>
      <c r="O991" s="64"/>
      <c r="P991" s="64"/>
      <c r="Q991" s="64"/>
      <c r="R991" s="64"/>
      <c r="S991" s="64"/>
      <c r="T991" s="64"/>
      <c r="U991" s="64"/>
      <c r="V991" s="64"/>
      <c r="W991" s="64"/>
      <c r="X991" s="64"/>
      <c r="Y991" s="137"/>
      <c r="Z991" s="137"/>
      <c r="AA991" s="137"/>
      <c r="AB991" s="137"/>
      <c r="AC991" s="137"/>
    </row>
    <row r="992" spans="3:29" ht="15.75" customHeight="1">
      <c r="C992" s="63"/>
      <c r="D992" s="63"/>
      <c r="E992" s="63"/>
      <c r="F992" s="63"/>
      <c r="G992" s="63"/>
      <c r="H992" s="63"/>
      <c r="I992" s="63"/>
      <c r="J992" s="63"/>
      <c r="K992" s="63"/>
      <c r="L992" s="63"/>
      <c r="M992" s="168"/>
      <c r="N992" s="63"/>
      <c r="O992" s="64"/>
      <c r="P992" s="64"/>
      <c r="Q992" s="64"/>
      <c r="R992" s="64"/>
      <c r="S992" s="64"/>
      <c r="T992" s="64"/>
      <c r="U992" s="64"/>
      <c r="V992" s="64"/>
      <c r="W992" s="64"/>
      <c r="X992" s="64"/>
      <c r="Y992" s="137"/>
      <c r="Z992" s="137"/>
      <c r="AA992" s="137"/>
      <c r="AB992" s="137"/>
      <c r="AC992" s="137"/>
    </row>
    <row r="993" spans="3:29" ht="15.75" customHeight="1">
      <c r="C993" s="63"/>
      <c r="D993" s="63"/>
      <c r="E993" s="63"/>
      <c r="F993" s="63"/>
      <c r="G993" s="63"/>
      <c r="H993" s="63"/>
      <c r="I993" s="63"/>
      <c r="J993" s="63"/>
      <c r="K993" s="63"/>
      <c r="L993" s="63"/>
      <c r="M993" s="168"/>
      <c r="N993" s="63"/>
      <c r="O993" s="64"/>
      <c r="P993" s="64"/>
      <c r="Q993" s="64"/>
      <c r="R993" s="64"/>
      <c r="S993" s="64"/>
      <c r="T993" s="64"/>
      <c r="U993" s="64"/>
      <c r="V993" s="64"/>
      <c r="W993" s="64"/>
      <c r="X993" s="64"/>
      <c r="Y993" s="137"/>
      <c r="Z993" s="137"/>
      <c r="AA993" s="137"/>
      <c r="AB993" s="137"/>
      <c r="AC993" s="137"/>
    </row>
    <row r="994" spans="3:29" ht="15.75" customHeight="1">
      <c r="C994" s="63"/>
      <c r="D994" s="63"/>
      <c r="E994" s="63"/>
      <c r="F994" s="63"/>
      <c r="G994" s="63"/>
      <c r="H994" s="63"/>
      <c r="I994" s="63"/>
      <c r="J994" s="63"/>
      <c r="K994" s="63"/>
      <c r="L994" s="63"/>
      <c r="M994" s="168"/>
      <c r="N994" s="63"/>
      <c r="O994" s="64"/>
      <c r="P994" s="64"/>
      <c r="Q994" s="64"/>
      <c r="R994" s="64"/>
      <c r="S994" s="64"/>
      <c r="T994" s="64"/>
      <c r="U994" s="64"/>
      <c r="V994" s="64"/>
      <c r="W994" s="64"/>
      <c r="X994" s="64"/>
      <c r="Y994" s="137"/>
      <c r="Z994" s="137"/>
      <c r="AA994" s="137"/>
      <c r="AB994" s="137"/>
      <c r="AC994" s="137"/>
    </row>
    <row r="995" spans="3:29" ht="15.75" customHeight="1">
      <c r="C995" s="63"/>
      <c r="D995" s="63"/>
      <c r="E995" s="63"/>
      <c r="F995" s="63"/>
      <c r="G995" s="63"/>
      <c r="H995" s="63"/>
      <c r="I995" s="63"/>
      <c r="J995" s="63"/>
      <c r="K995" s="63"/>
      <c r="L995" s="63"/>
      <c r="M995" s="168"/>
      <c r="N995" s="63"/>
      <c r="O995" s="64"/>
      <c r="P995" s="64"/>
      <c r="Q995" s="64"/>
      <c r="R995" s="64"/>
      <c r="S995" s="64"/>
      <c r="T995" s="64"/>
      <c r="U995" s="64"/>
      <c r="V995" s="64"/>
      <c r="W995" s="64"/>
      <c r="X995" s="64"/>
      <c r="Y995" s="137"/>
      <c r="Z995" s="137"/>
      <c r="AA995" s="137"/>
      <c r="AB995" s="137"/>
      <c r="AC995" s="137"/>
    </row>
    <row r="996" spans="3:29" ht="15.75" customHeight="1">
      <c r="C996" s="63"/>
      <c r="D996" s="63"/>
      <c r="E996" s="63"/>
      <c r="F996" s="63"/>
      <c r="G996" s="63"/>
      <c r="H996" s="63"/>
      <c r="I996" s="63"/>
      <c r="J996" s="63"/>
      <c r="K996" s="63"/>
      <c r="L996" s="63"/>
      <c r="M996" s="168"/>
      <c r="N996" s="63"/>
      <c r="O996" s="64"/>
      <c r="P996" s="64"/>
      <c r="Q996" s="64"/>
      <c r="R996" s="64"/>
      <c r="S996" s="64"/>
      <c r="T996" s="64"/>
      <c r="U996" s="64"/>
      <c r="V996" s="64"/>
      <c r="W996" s="64"/>
      <c r="X996" s="64"/>
      <c r="Y996" s="137"/>
      <c r="Z996" s="137"/>
      <c r="AA996" s="137"/>
      <c r="AB996" s="137"/>
      <c r="AC996" s="137"/>
    </row>
    <row r="997" spans="3:29" ht="15.75" customHeight="1">
      <c r="C997" s="63"/>
      <c r="D997" s="63"/>
      <c r="E997" s="63"/>
      <c r="F997" s="63"/>
      <c r="G997" s="63"/>
      <c r="H997" s="63"/>
      <c r="I997" s="63"/>
      <c r="J997" s="63"/>
      <c r="K997" s="63"/>
      <c r="L997" s="63"/>
      <c r="M997" s="168"/>
      <c r="N997" s="63"/>
      <c r="O997" s="64"/>
      <c r="P997" s="64"/>
      <c r="Q997" s="64"/>
      <c r="R997" s="64"/>
      <c r="S997" s="64"/>
      <c r="T997" s="64"/>
      <c r="U997" s="64"/>
      <c r="V997" s="64"/>
      <c r="W997" s="64"/>
      <c r="X997" s="64"/>
      <c r="Y997" s="137"/>
      <c r="Z997" s="137"/>
      <c r="AA997" s="137"/>
      <c r="AB997" s="137"/>
      <c r="AC997" s="137"/>
    </row>
    <row r="998" spans="3:29" ht="15.75" customHeight="1">
      <c r="C998" s="63"/>
      <c r="D998" s="63"/>
      <c r="E998" s="63"/>
      <c r="F998" s="63"/>
      <c r="G998" s="63"/>
      <c r="H998" s="63"/>
      <c r="I998" s="63"/>
      <c r="J998" s="63"/>
      <c r="K998" s="63"/>
      <c r="L998" s="63"/>
      <c r="M998" s="168"/>
      <c r="N998" s="63"/>
      <c r="O998" s="64"/>
      <c r="P998" s="64"/>
      <c r="Q998" s="64"/>
      <c r="R998" s="64"/>
      <c r="S998" s="64"/>
      <c r="T998" s="64"/>
      <c r="U998" s="64"/>
      <c r="V998" s="64"/>
      <c r="W998" s="64"/>
      <c r="X998" s="64"/>
      <c r="Y998" s="137"/>
      <c r="Z998" s="137"/>
      <c r="AA998" s="137"/>
      <c r="AB998" s="137"/>
      <c r="AC998" s="137"/>
    </row>
    <row r="999" spans="3:29" ht="15.75" customHeight="1">
      <c r="C999" s="63"/>
      <c r="D999" s="63"/>
      <c r="E999" s="63"/>
      <c r="F999" s="63"/>
      <c r="G999" s="63"/>
      <c r="H999" s="63"/>
      <c r="I999" s="63"/>
      <c r="J999" s="63"/>
      <c r="K999" s="63"/>
      <c r="L999" s="63"/>
      <c r="M999" s="168"/>
      <c r="N999" s="63"/>
      <c r="O999" s="64"/>
      <c r="P999" s="64"/>
      <c r="Q999" s="64"/>
      <c r="R999" s="64"/>
      <c r="S999" s="64"/>
      <c r="T999" s="64"/>
      <c r="U999" s="64"/>
      <c r="V999" s="64"/>
      <c r="W999" s="64"/>
      <c r="X999" s="64"/>
      <c r="Y999" s="137"/>
      <c r="Z999" s="137"/>
      <c r="AA999" s="137"/>
      <c r="AB999" s="137"/>
      <c r="AC999" s="137"/>
    </row>
    <row r="1000" spans="3:29" ht="15.75" customHeight="1">
      <c r="C1000" s="63"/>
      <c r="D1000" s="63"/>
      <c r="E1000" s="63"/>
      <c r="F1000" s="63"/>
      <c r="G1000" s="63"/>
      <c r="H1000" s="63"/>
      <c r="I1000" s="63"/>
      <c r="J1000" s="63"/>
      <c r="K1000" s="63"/>
      <c r="L1000" s="63"/>
      <c r="M1000" s="168"/>
      <c r="N1000" s="63"/>
      <c r="O1000" s="64"/>
      <c r="P1000" s="64"/>
      <c r="Q1000" s="64"/>
      <c r="R1000" s="64"/>
      <c r="S1000" s="64"/>
      <c r="T1000" s="64"/>
      <c r="U1000" s="64"/>
      <c r="V1000" s="64"/>
      <c r="W1000" s="64"/>
      <c r="X1000" s="64"/>
      <c r="Y1000" s="137"/>
      <c r="Z1000" s="137"/>
      <c r="AA1000" s="137"/>
      <c r="AB1000" s="137"/>
      <c r="AC1000" s="137"/>
    </row>
  </sheetData>
  <sheetProtection sheet="1" scenarios="1" formatCells="0" formatColumns="0" formatRows="0" sort="0" autoFilter="0"/>
  <mergeCells count="129">
    <mergeCell ref="D4:F4"/>
    <mergeCell ref="D13:H13"/>
    <mergeCell ref="D8:W9"/>
    <mergeCell ref="D27:W27"/>
    <mergeCell ref="S49:W49"/>
    <mergeCell ref="E53:G53"/>
    <mergeCell ref="S19:W19"/>
    <mergeCell ref="I42:M42"/>
    <mergeCell ref="S33:W33"/>
    <mergeCell ref="E50:G50"/>
    <mergeCell ref="O34:Q34"/>
    <mergeCell ref="I35:M35"/>
    <mergeCell ref="I44:M44"/>
    <mergeCell ref="S35:W35"/>
    <mergeCell ref="D15:H15"/>
    <mergeCell ref="E52:G52"/>
    <mergeCell ref="I20:M20"/>
    <mergeCell ref="E39:G39"/>
    <mergeCell ref="O36:Q36"/>
    <mergeCell ref="E48:G48"/>
    <mergeCell ref="O30:Q30"/>
    <mergeCell ref="O45:Q45"/>
    <mergeCell ref="E29:G29"/>
    <mergeCell ref="E38:G38"/>
    <mergeCell ref="I53:M53"/>
    <mergeCell ref="S34:W34"/>
    <mergeCell ref="E37:G37"/>
    <mergeCell ref="O37:Q37"/>
    <mergeCell ref="I52:M52"/>
    <mergeCell ref="I39:M39"/>
    <mergeCell ref="D18:H18"/>
    <mergeCell ref="S36:W36"/>
    <mergeCell ref="I48:M48"/>
    <mergeCell ref="S30:W30"/>
    <mergeCell ref="S45:W45"/>
    <mergeCell ref="O53:Q53"/>
    <mergeCell ref="S20:W20"/>
    <mergeCell ref="I38:M38"/>
    <mergeCell ref="S29:W29"/>
    <mergeCell ref="S44:W44"/>
    <mergeCell ref="I31:M31"/>
    <mergeCell ref="E51:G51"/>
    <mergeCell ref="S22:W22"/>
    <mergeCell ref="I40:M40"/>
    <mergeCell ref="S31:W31"/>
    <mergeCell ref="D20:H20"/>
    <mergeCell ref="O32:Q32"/>
    <mergeCell ref="S21:W21"/>
    <mergeCell ref="S53:W53"/>
    <mergeCell ref="I13:W13"/>
    <mergeCell ref="N19:R19"/>
    <mergeCell ref="E43:G43"/>
    <mergeCell ref="D12:H12"/>
    <mergeCell ref="I15:W15"/>
    <mergeCell ref="E33:G33"/>
    <mergeCell ref="I51:M51"/>
    <mergeCell ref="D14:H14"/>
    <mergeCell ref="S32:W32"/>
    <mergeCell ref="O49:Q49"/>
    <mergeCell ref="N20:R20"/>
    <mergeCell ref="O41:Q41"/>
    <mergeCell ref="D26:W26"/>
    <mergeCell ref="O35:Q35"/>
    <mergeCell ref="E34:G34"/>
    <mergeCell ref="I49:M49"/>
    <mergeCell ref="N22:R22"/>
    <mergeCell ref="O43:Q43"/>
    <mergeCell ref="D21:H21"/>
    <mergeCell ref="E36:G36"/>
    <mergeCell ref="N21:R21"/>
    <mergeCell ref="E45:G45"/>
    <mergeCell ref="O42:Q42"/>
    <mergeCell ref="O50:Q50"/>
    <mergeCell ref="E46:G46"/>
    <mergeCell ref="O46:Q46"/>
    <mergeCell ref="I47:M47"/>
    <mergeCell ref="D6:L7"/>
    <mergeCell ref="O52:Q52"/>
    <mergeCell ref="I22:M22"/>
    <mergeCell ref="I37:M37"/>
    <mergeCell ref="O48:Q48"/>
    <mergeCell ref="E32:G32"/>
    <mergeCell ref="I21:M21"/>
    <mergeCell ref="E41:G41"/>
    <mergeCell ref="O38:Q38"/>
    <mergeCell ref="E47:G47"/>
    <mergeCell ref="D22:H22"/>
    <mergeCell ref="E49:G49"/>
    <mergeCell ref="O40:Q40"/>
    <mergeCell ref="S52:W52"/>
    <mergeCell ref="S39:W39"/>
    <mergeCell ref="O51:Q51"/>
    <mergeCell ref="S48:W48"/>
    <mergeCell ref="O47:Q47"/>
    <mergeCell ref="I32:M32"/>
    <mergeCell ref="I14:W14"/>
    <mergeCell ref="I41:M41"/>
    <mergeCell ref="S38:W38"/>
    <mergeCell ref="I43:M43"/>
    <mergeCell ref="S40:W40"/>
    <mergeCell ref="I33:M33"/>
    <mergeCell ref="O33:Q33"/>
    <mergeCell ref="I50:M50"/>
    <mergeCell ref="S41:W41"/>
    <mergeCell ref="I19:M19"/>
    <mergeCell ref="O39:Q39"/>
    <mergeCell ref="S50:W50"/>
    <mergeCell ref="I34:M34"/>
    <mergeCell ref="S51:W51"/>
    <mergeCell ref="S43:W43"/>
    <mergeCell ref="I36:M36"/>
    <mergeCell ref="I29:L29"/>
    <mergeCell ref="I45:M45"/>
    <mergeCell ref="O29:Q29"/>
    <mergeCell ref="I30:M30"/>
    <mergeCell ref="S47:W47"/>
    <mergeCell ref="I46:M46"/>
    <mergeCell ref="D19:H19"/>
    <mergeCell ref="O44:Q44"/>
    <mergeCell ref="E31:G31"/>
    <mergeCell ref="E40:G40"/>
    <mergeCell ref="S46:W46"/>
    <mergeCell ref="O31:Q31"/>
    <mergeCell ref="E42:G42"/>
    <mergeCell ref="E35:G35"/>
    <mergeCell ref="E44:G44"/>
    <mergeCell ref="E30:G30"/>
    <mergeCell ref="S42:W42"/>
    <mergeCell ref="S37:W37"/>
  </mergeCells>
  <pageMargins left="0.75" right="0.75" top="1" bottom="1"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A64A"/>
  </sheetPr>
  <dimension ref="A1:W120"/>
  <sheetViews>
    <sheetView showGridLines="0" zoomScaleNormal="100" workbookViewId="0"/>
  </sheetViews>
  <sheetFormatPr baseColWidth="10" defaultColWidth="8.5703125" defaultRowHeight="15"/>
  <cols>
    <col min="1" max="2" width="1.28515625" style="161" customWidth="1"/>
    <col min="3" max="3" width="1.28515625" style="121" customWidth="1"/>
    <col min="4" max="4" width="19.7109375" style="121" customWidth="1"/>
    <col min="5" max="5" width="30" style="121" customWidth="1"/>
    <col min="6" max="6" width="5" style="121" customWidth="1"/>
    <col min="7" max="7" width="7" style="121" customWidth="1"/>
    <col min="8" max="9" width="24" style="121" customWidth="1"/>
    <col min="10" max="10" width="30" style="121" customWidth="1"/>
    <col min="11" max="11" width="7" style="121" customWidth="1"/>
    <col min="12" max="12" width="39.42578125" style="121" bestFit="1" customWidth="1"/>
    <col min="13" max="13" width="10" style="121" customWidth="1"/>
    <col min="14" max="15" width="1.28515625" style="121" customWidth="1"/>
    <col min="16" max="20" width="8.5703125" style="121" customWidth="1"/>
    <col min="21" max="16384" width="8.5703125" style="121"/>
  </cols>
  <sheetData>
    <row r="1" spans="3:14" s="161" customFormat="1" ht="7.5" customHeight="1"/>
    <row r="2" spans="3:14" s="161" customFormat="1" ht="7.5" customHeight="1"/>
    <row r="3" spans="3:14" s="161" customFormat="1" ht="7.5" customHeight="1" thickBot="1">
      <c r="D3" s="248"/>
      <c r="E3" s="248"/>
      <c r="F3" s="248"/>
      <c r="G3" s="248"/>
      <c r="H3" s="248"/>
      <c r="I3" s="248"/>
      <c r="J3" s="248"/>
      <c r="K3" s="248"/>
      <c r="L3" s="248"/>
      <c r="M3" s="248"/>
    </row>
    <row r="4" spans="3:14" s="161" customFormat="1" ht="34" customHeight="1" thickBot="1">
      <c r="C4" s="249"/>
      <c r="D4" s="247" t="str">
        <f>HYPERLINK("https://www.justgiving.com/page/predictforpsc",VLOOKUP("btn_donate_now",langTable,MATCH(langName,_lang!$A$1:$F$1,0),FALSE()))</f>
        <v>♥ DONATE NOW</v>
      </c>
      <c r="N4" s="252"/>
    </row>
    <row r="5" spans="3:14" s="161" customFormat="1" ht="7.5" customHeight="1">
      <c r="C5" s="249"/>
      <c r="D5" s="251"/>
      <c r="E5" s="251"/>
      <c r="F5" s="251"/>
      <c r="G5" s="251"/>
      <c r="H5" s="251"/>
      <c r="I5" s="251"/>
      <c r="J5" s="251"/>
      <c r="K5" s="251"/>
      <c r="L5" s="251"/>
      <c r="M5" s="251"/>
      <c r="N5" s="252"/>
    </row>
    <row r="6" spans="3:14" ht="7.5" customHeight="1">
      <c r="C6" s="250"/>
      <c r="D6" s="120"/>
      <c r="E6" s="120"/>
      <c r="F6" s="120"/>
      <c r="G6" s="120"/>
      <c r="H6" s="120"/>
      <c r="I6" s="120"/>
      <c r="J6" s="120"/>
      <c r="K6" s="120"/>
      <c r="L6" s="120"/>
      <c r="M6" s="120"/>
      <c r="N6" s="252"/>
    </row>
    <row r="7" spans="3:14" ht="31.5" customHeight="1">
      <c r="C7" s="250"/>
      <c r="D7" s="385" t="str">
        <f>VLOOKUP("teams_title",langTable,MATCH(langName,_lang!$A$1:$F$1,0),FALSE())</f>
        <v>&gt;&gt;&gt; TEAMS</v>
      </c>
      <c r="E7" s="386"/>
      <c r="F7" s="386"/>
      <c r="G7" s="386"/>
      <c r="H7" s="386"/>
      <c r="I7" s="386"/>
      <c r="J7" s="386"/>
      <c r="K7" s="386"/>
      <c r="L7" s="386"/>
      <c r="M7" s="386"/>
      <c r="N7" s="252"/>
    </row>
    <row r="8" spans="3:14" ht="18" customHeight="1">
      <c r="C8" s="250"/>
      <c r="D8" s="387" t="str">
        <f>VLOOKUP("teams_subtitle",langTable,MATCH(langName,_lang!$A$1:$F$1,0),FALSE())</f>
        <v>All 48 qualified teams — coach, captain, ranking, World Cup pedigree.</v>
      </c>
      <c r="E8" s="386"/>
      <c r="F8" s="386"/>
      <c r="G8" s="386"/>
      <c r="H8" s="386"/>
      <c r="I8" s="386"/>
      <c r="J8" s="386"/>
      <c r="K8" s="386"/>
      <c r="L8" s="386"/>
      <c r="M8" s="386"/>
      <c r="N8" s="252"/>
    </row>
    <row r="9" spans="3:14" ht="15.75" customHeight="1">
      <c r="C9" s="250"/>
      <c r="D9" s="388" t="str">
        <f>VLOOKUP("rank_as_of",langTable,MATCH(langName,_lang!$A$1:$F$1,0),FALSE())</f>
        <v>Rankings: April 2026 FIFA release</v>
      </c>
      <c r="E9" s="386"/>
      <c r="F9" s="386"/>
      <c r="G9" s="386"/>
      <c r="H9" s="386"/>
      <c r="I9" s="386"/>
      <c r="J9" s="386"/>
      <c r="K9" s="386"/>
      <c r="L9" s="386"/>
      <c r="M9" s="386"/>
      <c r="N9" s="252"/>
    </row>
    <row r="10" spans="3:14" ht="15" customHeight="1">
      <c r="C10" s="250"/>
      <c r="D10" s="120"/>
      <c r="E10" s="120"/>
      <c r="F10" s="120"/>
      <c r="G10" s="120"/>
      <c r="H10" s="120"/>
      <c r="I10" s="120"/>
      <c r="J10" s="120"/>
      <c r="K10" s="120"/>
      <c r="L10" s="120"/>
      <c r="M10" s="120"/>
      <c r="N10" s="252"/>
    </row>
    <row r="11" spans="3:14" ht="21.75" customHeight="1">
      <c r="C11" s="250"/>
      <c r="D11" s="142" t="s">
        <v>133</v>
      </c>
      <c r="E11" s="142" t="str">
        <f>VLOOKUP("hdr_team",langTable,MATCH(langName,_lang!$A$1:$F$1,0),FALSE())</f>
        <v>TEAM</v>
      </c>
      <c r="F11" s="142" t="str">
        <f>VLOOKUP("hdr_group",langTable,MATCH(langName,_lang!$A$1:$F$1,0),FALSE())</f>
        <v>GRP</v>
      </c>
      <c r="G11" s="142" t="str">
        <f>VLOOKUP("hdr_rank",langTable,MATCH(langName,_lang!$A$1:$F$1,0),FALSE())</f>
        <v>FIFA #</v>
      </c>
      <c r="H11" s="142" t="str">
        <f>VLOOKUP("hdr_coach",langTable,MATCH(langName,_lang!$A$1:$F$1,0),FALSE())</f>
        <v>HEAD COACH</v>
      </c>
      <c r="I11" s="142" t="str">
        <f>VLOOKUP("hdr_captain",langTable,MATCH(langName,_lang!$A$1:$F$1,0),FALSE())</f>
        <v>CAPTAIN</v>
      </c>
      <c r="J11" s="142" t="str">
        <f>VLOOKUP("hdr_topscorer",langTable,MATCH(langName,_lang!$A$1:$F$1,0),FALSE())</f>
        <v>ALL-TIME TOP SCORER</v>
      </c>
      <c r="K11" s="142" t="str">
        <f>VLOOKUP("hdr_wcapps",langTable,MATCH(langName,_lang!$A$1:$F$1,0),FALSE())</f>
        <v>WC APPS</v>
      </c>
      <c r="L11" s="142" t="str">
        <f>VLOOKUP("hdr_bestfinish",langTable,MATCH(langName,_lang!$A$1:$F$1,0),FALSE())</f>
        <v>BEST FINISH</v>
      </c>
      <c r="M11" s="142" t="str">
        <f>VLOOKUP("hdr_lastapp",langTable,MATCH(langName,_lang!$A$1:$F$1,0),FALSE())</f>
        <v>LAST WC</v>
      </c>
      <c r="N11" s="252"/>
    </row>
    <row r="12" spans="3:14" ht="21.75" customHeight="1">
      <c r="C12" s="250"/>
      <c r="D12" s="122">
        <v>1</v>
      </c>
      <c r="E12" s="143" t="s">
        <v>12</v>
      </c>
      <c r="F12" s="147" t="s">
        <v>92</v>
      </c>
      <c r="G12" s="145">
        <v>43</v>
      </c>
      <c r="H12" s="123" t="s">
        <v>134</v>
      </c>
      <c r="I12" s="123" t="s">
        <v>135</v>
      </c>
      <c r="J12" s="123" t="s">
        <v>136</v>
      </c>
      <c r="K12" s="124">
        <v>10</v>
      </c>
      <c r="L12" s="123" t="s">
        <v>137</v>
      </c>
      <c r="M12" s="124">
        <v>2006</v>
      </c>
      <c r="N12" s="252"/>
    </row>
    <row r="13" spans="3:14" ht="21.75" customHeight="1">
      <c r="C13" s="250"/>
      <c r="D13" s="125">
        <v>2</v>
      </c>
      <c r="E13" s="144" t="s">
        <v>8</v>
      </c>
      <c r="F13" s="147" t="s">
        <v>92</v>
      </c>
      <c r="G13" s="146">
        <v>15</v>
      </c>
      <c r="H13" s="126" t="s">
        <v>138</v>
      </c>
      <c r="I13" s="126" t="s">
        <v>139</v>
      </c>
      <c r="J13" s="126" t="s">
        <v>140</v>
      </c>
      <c r="K13" s="127">
        <v>17</v>
      </c>
      <c r="L13" s="126" t="s">
        <v>141</v>
      </c>
      <c r="M13" s="127">
        <v>2022</v>
      </c>
      <c r="N13" s="252"/>
    </row>
    <row r="14" spans="3:14" ht="21.75" customHeight="1">
      <c r="C14" s="250"/>
      <c r="D14" s="122">
        <v>3</v>
      </c>
      <c r="E14" s="143" t="s">
        <v>9</v>
      </c>
      <c r="F14" s="147" t="s">
        <v>92</v>
      </c>
      <c r="G14" s="145">
        <v>63</v>
      </c>
      <c r="H14" s="123" t="s">
        <v>142</v>
      </c>
      <c r="I14" s="123" t="s">
        <v>143</v>
      </c>
      <c r="J14" s="123" t="s">
        <v>144</v>
      </c>
      <c r="K14" s="124">
        <v>4</v>
      </c>
      <c r="L14" s="123" t="s">
        <v>145</v>
      </c>
      <c r="M14" s="124">
        <v>2010</v>
      </c>
      <c r="N14" s="252"/>
    </row>
    <row r="15" spans="3:14" ht="21.75" customHeight="1">
      <c r="C15" s="250"/>
      <c r="D15" s="125">
        <v>4</v>
      </c>
      <c r="E15" s="144" t="s">
        <v>11</v>
      </c>
      <c r="F15" s="147" t="s">
        <v>92</v>
      </c>
      <c r="G15" s="146">
        <v>22</v>
      </c>
      <c r="H15" s="126" t="s">
        <v>146</v>
      </c>
      <c r="I15" s="126" t="s">
        <v>147</v>
      </c>
      <c r="J15" s="126" t="s">
        <v>148</v>
      </c>
      <c r="K15" s="127">
        <v>12</v>
      </c>
      <c r="L15" s="126" t="s">
        <v>149</v>
      </c>
      <c r="M15" s="127">
        <v>2022</v>
      </c>
      <c r="N15" s="252"/>
    </row>
    <row r="16" spans="3:14" ht="21.75" customHeight="1">
      <c r="C16" s="250"/>
      <c r="D16" s="122">
        <v>5</v>
      </c>
      <c r="E16" s="143" t="s">
        <v>16</v>
      </c>
      <c r="F16" s="147" t="s">
        <v>92</v>
      </c>
      <c r="G16" s="145">
        <v>71</v>
      </c>
      <c r="H16" s="123" t="s">
        <v>150</v>
      </c>
      <c r="I16" s="123" t="s">
        <v>151</v>
      </c>
      <c r="J16" s="123" t="s">
        <v>152</v>
      </c>
      <c r="K16" s="124">
        <v>1</v>
      </c>
      <c r="L16" s="123" t="s">
        <v>153</v>
      </c>
      <c r="M16" s="124">
        <v>2014</v>
      </c>
      <c r="N16" s="252"/>
    </row>
    <row r="17" spans="3:14" ht="21.75" customHeight="1">
      <c r="C17" s="250"/>
      <c r="D17" s="125">
        <v>6</v>
      </c>
      <c r="E17" s="144" t="s">
        <v>15</v>
      </c>
      <c r="F17" s="147" t="s">
        <v>92</v>
      </c>
      <c r="G17" s="146">
        <v>30</v>
      </c>
      <c r="H17" s="126" t="s">
        <v>154</v>
      </c>
      <c r="I17" s="126" t="s">
        <v>155</v>
      </c>
      <c r="J17" s="126" t="s">
        <v>156</v>
      </c>
      <c r="K17" s="127">
        <v>3</v>
      </c>
      <c r="L17" s="126" t="s">
        <v>153</v>
      </c>
      <c r="M17" s="127">
        <v>2022</v>
      </c>
      <c r="N17" s="252"/>
    </row>
    <row r="18" spans="3:14" ht="21.75" customHeight="1">
      <c r="C18" s="250"/>
      <c r="D18" s="122">
        <v>7</v>
      </c>
      <c r="E18" s="143" t="s">
        <v>22</v>
      </c>
      <c r="F18" s="147" t="s">
        <v>92</v>
      </c>
      <c r="G18" s="145">
        <v>55</v>
      </c>
      <c r="H18" s="123" t="s">
        <v>157</v>
      </c>
      <c r="I18" s="123" t="s">
        <v>158</v>
      </c>
      <c r="J18" s="123" t="s">
        <v>159</v>
      </c>
      <c r="K18" s="124">
        <v>2</v>
      </c>
      <c r="L18" s="123" t="s">
        <v>160</v>
      </c>
      <c r="M18" s="124">
        <v>2022</v>
      </c>
      <c r="N18" s="252"/>
    </row>
    <row r="19" spans="3:14" ht="21.75" customHeight="1">
      <c r="C19" s="250"/>
      <c r="D19" s="125">
        <v>8</v>
      </c>
      <c r="E19" s="144" t="s">
        <v>23</v>
      </c>
      <c r="F19" s="147" t="s">
        <v>92</v>
      </c>
      <c r="G19" s="146">
        <v>18</v>
      </c>
      <c r="H19" s="126" t="s">
        <v>161</v>
      </c>
      <c r="I19" s="126" t="s">
        <v>162</v>
      </c>
      <c r="J19" s="126" t="s">
        <v>163</v>
      </c>
      <c r="K19" s="127">
        <v>12</v>
      </c>
      <c r="L19" s="126" t="s">
        <v>164</v>
      </c>
      <c r="M19" s="127">
        <v>2022</v>
      </c>
      <c r="N19" s="252"/>
    </row>
    <row r="20" spans="3:14" ht="21.75" customHeight="1">
      <c r="C20" s="250"/>
      <c r="D20" s="122">
        <v>9</v>
      </c>
      <c r="E20" s="143" t="s">
        <v>26</v>
      </c>
      <c r="F20" s="147" t="s">
        <v>92</v>
      </c>
      <c r="G20" s="145">
        <v>6</v>
      </c>
      <c r="H20" s="123" t="s">
        <v>165</v>
      </c>
      <c r="I20" s="123" t="s">
        <v>166</v>
      </c>
      <c r="J20" s="123" t="s">
        <v>167</v>
      </c>
      <c r="K20" s="124">
        <v>22</v>
      </c>
      <c r="L20" s="123" t="s">
        <v>168</v>
      </c>
      <c r="M20" s="124">
        <v>2022</v>
      </c>
      <c r="N20" s="252"/>
    </row>
    <row r="21" spans="3:14" ht="21.75" customHeight="1">
      <c r="C21" s="250"/>
      <c r="D21" s="125">
        <v>10</v>
      </c>
      <c r="E21" s="144" t="s">
        <v>29</v>
      </c>
      <c r="F21" s="147" t="s">
        <v>92</v>
      </c>
      <c r="G21" s="146">
        <v>84</v>
      </c>
      <c r="H21" s="126" t="s">
        <v>169</v>
      </c>
      <c r="I21" s="126" t="s">
        <v>170</v>
      </c>
      <c r="J21" s="126" t="s">
        <v>171</v>
      </c>
      <c r="K21" s="127">
        <v>2</v>
      </c>
      <c r="L21" s="126" t="s">
        <v>172</v>
      </c>
      <c r="M21" s="127">
        <v>1974</v>
      </c>
      <c r="N21" s="252"/>
    </row>
    <row r="22" spans="3:14" ht="21.75" customHeight="1">
      <c r="C22" s="250"/>
      <c r="D22" s="122">
        <v>11</v>
      </c>
      <c r="E22" s="143" t="s">
        <v>27</v>
      </c>
      <c r="F22" s="147" t="s">
        <v>92</v>
      </c>
      <c r="G22" s="145">
        <v>8</v>
      </c>
      <c r="H22" s="123" t="s">
        <v>173</v>
      </c>
      <c r="I22" s="123" t="s">
        <v>174</v>
      </c>
      <c r="J22" s="123" t="s">
        <v>175</v>
      </c>
      <c r="K22" s="124">
        <v>6</v>
      </c>
      <c r="L22" s="123" t="s">
        <v>176</v>
      </c>
      <c r="M22" s="124">
        <v>2022</v>
      </c>
      <c r="N22" s="252"/>
    </row>
    <row r="23" spans="3:14" ht="21.75" customHeight="1">
      <c r="C23" s="250"/>
      <c r="D23" s="125">
        <v>12</v>
      </c>
      <c r="E23" s="144" t="s">
        <v>30</v>
      </c>
      <c r="F23" s="147" t="s">
        <v>92</v>
      </c>
      <c r="G23" s="146">
        <v>38</v>
      </c>
      <c r="H23" s="126" t="s">
        <v>177</v>
      </c>
      <c r="I23" s="126" t="s">
        <v>178</v>
      </c>
      <c r="J23" s="126" t="s">
        <v>179</v>
      </c>
      <c r="K23" s="127">
        <v>9</v>
      </c>
      <c r="L23" s="126" t="s">
        <v>153</v>
      </c>
      <c r="M23" s="127">
        <v>1998</v>
      </c>
      <c r="N23" s="252"/>
    </row>
    <row r="24" spans="3:14" ht="21.75" customHeight="1">
      <c r="C24" s="250"/>
      <c r="D24" s="122">
        <v>13</v>
      </c>
      <c r="E24" s="143" t="s">
        <v>32</v>
      </c>
      <c r="F24" s="147" t="s">
        <v>92</v>
      </c>
      <c r="G24" s="145">
        <v>27</v>
      </c>
      <c r="H24" s="123" t="s">
        <v>180</v>
      </c>
      <c r="I24" s="123" t="s">
        <v>181</v>
      </c>
      <c r="J24" s="123" t="s">
        <v>182</v>
      </c>
      <c r="K24" s="124">
        <v>7</v>
      </c>
      <c r="L24" s="123" t="s">
        <v>183</v>
      </c>
      <c r="M24" s="124">
        <v>2022</v>
      </c>
      <c r="N24" s="252"/>
    </row>
    <row r="25" spans="3:14" ht="21.75" customHeight="1">
      <c r="C25" s="250"/>
      <c r="D25" s="125">
        <v>14</v>
      </c>
      <c r="E25" s="144" t="s">
        <v>20</v>
      </c>
      <c r="F25" s="147" t="s">
        <v>92</v>
      </c>
      <c r="G25" s="146">
        <v>40</v>
      </c>
      <c r="H25" s="126" t="s">
        <v>184</v>
      </c>
      <c r="I25" s="126" t="s">
        <v>185</v>
      </c>
      <c r="J25" s="126" t="s">
        <v>186</v>
      </c>
      <c r="K25" s="127">
        <v>9</v>
      </c>
      <c r="L25" s="126" t="s">
        <v>187</v>
      </c>
      <c r="M25" s="127">
        <v>2010</v>
      </c>
      <c r="N25" s="252"/>
    </row>
    <row r="26" spans="3:14" ht="21.75" customHeight="1">
      <c r="C26" s="250"/>
      <c r="D26" s="122">
        <v>15</v>
      </c>
      <c r="E26" s="143" t="s">
        <v>33</v>
      </c>
      <c r="F26" s="147" t="s">
        <v>92</v>
      </c>
      <c r="G26" s="145">
        <v>25</v>
      </c>
      <c r="H26" s="123" t="s">
        <v>188</v>
      </c>
      <c r="I26" s="123" t="s">
        <v>189</v>
      </c>
      <c r="J26" s="123" t="s">
        <v>190</v>
      </c>
      <c r="K26" s="124">
        <v>2</v>
      </c>
      <c r="L26" s="123" t="s">
        <v>191</v>
      </c>
      <c r="M26" s="124">
        <v>2002</v>
      </c>
      <c r="N26" s="252"/>
    </row>
    <row r="27" spans="3:14" ht="21.75" customHeight="1">
      <c r="C27" s="250"/>
      <c r="D27" s="125">
        <v>16</v>
      </c>
      <c r="E27" s="144" t="s">
        <v>19</v>
      </c>
      <c r="F27" s="147" t="s">
        <v>92</v>
      </c>
      <c r="G27" s="146">
        <v>16</v>
      </c>
      <c r="H27" s="126" t="s">
        <v>192</v>
      </c>
      <c r="I27" s="126" t="s">
        <v>193</v>
      </c>
      <c r="J27" s="126" t="s">
        <v>194</v>
      </c>
      <c r="K27" s="127">
        <v>11</v>
      </c>
      <c r="L27" s="126" t="s">
        <v>195</v>
      </c>
      <c r="M27" s="127">
        <v>2022</v>
      </c>
      <c r="N27" s="252"/>
    </row>
    <row r="28" spans="3:14" ht="21.75" customHeight="1">
      <c r="C28" s="250"/>
      <c r="D28" s="122">
        <v>17</v>
      </c>
      <c r="E28" s="143" t="s">
        <v>37</v>
      </c>
      <c r="F28" s="147" t="s">
        <v>92</v>
      </c>
      <c r="G28" s="145">
        <v>86</v>
      </c>
      <c r="H28" s="123" t="s">
        <v>196</v>
      </c>
      <c r="I28" s="123" t="s">
        <v>197</v>
      </c>
      <c r="J28" s="123" t="s">
        <v>198</v>
      </c>
      <c r="K28" s="124">
        <v>0</v>
      </c>
      <c r="L28" s="123" t="s">
        <v>199</v>
      </c>
      <c r="M28" s="124" t="s">
        <v>199</v>
      </c>
      <c r="N28" s="252"/>
    </row>
    <row r="29" spans="3:14" ht="21.75" customHeight="1">
      <c r="C29" s="250"/>
      <c r="D29" s="125">
        <v>18</v>
      </c>
      <c r="E29" s="144" t="s">
        <v>44</v>
      </c>
      <c r="F29" s="147" t="s">
        <v>92</v>
      </c>
      <c r="G29" s="146">
        <v>23</v>
      </c>
      <c r="H29" s="126" t="s">
        <v>200</v>
      </c>
      <c r="I29" s="126" t="s">
        <v>201</v>
      </c>
      <c r="J29" s="126" t="s">
        <v>202</v>
      </c>
      <c r="K29" s="127">
        <v>4</v>
      </c>
      <c r="L29" s="126" t="s">
        <v>203</v>
      </c>
      <c r="M29" s="127">
        <v>2022</v>
      </c>
      <c r="N29" s="252"/>
    </row>
    <row r="30" spans="3:14" ht="21.75" customHeight="1">
      <c r="C30" s="250"/>
      <c r="D30" s="122">
        <v>19</v>
      </c>
      <c r="E30" s="143" t="s">
        <v>36</v>
      </c>
      <c r="F30" s="147" t="s">
        <v>92</v>
      </c>
      <c r="G30" s="145">
        <v>10</v>
      </c>
      <c r="H30" s="123" t="s">
        <v>204</v>
      </c>
      <c r="I30" s="123" t="s">
        <v>205</v>
      </c>
      <c r="J30" s="123" t="s">
        <v>206</v>
      </c>
      <c r="K30" s="124">
        <v>20</v>
      </c>
      <c r="L30" s="123" t="s">
        <v>207</v>
      </c>
      <c r="M30" s="124">
        <v>2022</v>
      </c>
      <c r="N30" s="252"/>
    </row>
    <row r="31" spans="3:14" ht="21.75" customHeight="1">
      <c r="C31" s="250"/>
      <c r="D31" s="125">
        <v>20</v>
      </c>
      <c r="E31" s="144" t="s">
        <v>43</v>
      </c>
      <c r="F31" s="147" t="s">
        <v>92</v>
      </c>
      <c r="G31" s="146">
        <v>37</v>
      </c>
      <c r="H31" s="126" t="s">
        <v>208</v>
      </c>
      <c r="I31" s="126" t="s">
        <v>209</v>
      </c>
      <c r="J31" s="126" t="s">
        <v>210</v>
      </c>
      <c r="K31" s="127">
        <v>3</v>
      </c>
      <c r="L31" s="126" t="s">
        <v>153</v>
      </c>
      <c r="M31" s="127">
        <v>2014</v>
      </c>
      <c r="N31" s="252"/>
    </row>
    <row r="32" spans="3:14" ht="21.75" customHeight="1">
      <c r="C32" s="250"/>
      <c r="D32" s="122">
        <v>21</v>
      </c>
      <c r="E32" s="143" t="s">
        <v>41</v>
      </c>
      <c r="F32" s="147" t="s">
        <v>92</v>
      </c>
      <c r="G32" s="145">
        <v>19</v>
      </c>
      <c r="H32" s="123" t="s">
        <v>211</v>
      </c>
      <c r="I32" s="123" t="s">
        <v>212</v>
      </c>
      <c r="J32" s="123" t="s">
        <v>213</v>
      </c>
      <c r="K32" s="124">
        <v>7</v>
      </c>
      <c r="L32" s="123" t="s">
        <v>214</v>
      </c>
      <c r="M32" s="124">
        <v>2022</v>
      </c>
      <c r="N32" s="252"/>
    </row>
    <row r="33" spans="3:14" ht="21.75" customHeight="1">
      <c r="C33" s="250"/>
      <c r="D33" s="125">
        <v>22</v>
      </c>
      <c r="E33" s="144" t="s">
        <v>40</v>
      </c>
      <c r="F33" s="147" t="s">
        <v>92</v>
      </c>
      <c r="G33" s="146">
        <v>7</v>
      </c>
      <c r="H33" s="126" t="s">
        <v>215</v>
      </c>
      <c r="I33" s="126" t="s">
        <v>216</v>
      </c>
      <c r="J33" s="126" t="s">
        <v>217</v>
      </c>
      <c r="K33" s="127">
        <v>11</v>
      </c>
      <c r="L33" s="126" t="s">
        <v>218</v>
      </c>
      <c r="M33" s="127">
        <v>2022</v>
      </c>
      <c r="N33" s="252"/>
    </row>
    <row r="34" spans="3:14" ht="21.75" customHeight="1">
      <c r="C34" s="250"/>
      <c r="D34" s="122">
        <v>23</v>
      </c>
      <c r="E34" s="143" t="s">
        <v>46</v>
      </c>
      <c r="F34" s="147" t="s">
        <v>92</v>
      </c>
      <c r="G34" s="145">
        <v>42</v>
      </c>
      <c r="H34" s="123" t="s">
        <v>219</v>
      </c>
      <c r="I34" s="123" t="s">
        <v>220</v>
      </c>
      <c r="J34" s="123" t="s">
        <v>221</v>
      </c>
      <c r="K34" s="124">
        <v>12</v>
      </c>
      <c r="L34" s="123" t="s">
        <v>222</v>
      </c>
      <c r="M34" s="124">
        <v>2018</v>
      </c>
      <c r="N34" s="252"/>
    </row>
    <row r="35" spans="3:14" ht="21.75" customHeight="1">
      <c r="C35" s="250"/>
      <c r="D35" s="125">
        <v>24</v>
      </c>
      <c r="E35" s="144" t="s">
        <v>47</v>
      </c>
      <c r="F35" s="147" t="s">
        <v>92</v>
      </c>
      <c r="G35" s="146">
        <v>47</v>
      </c>
      <c r="H35" s="126" t="s">
        <v>223</v>
      </c>
      <c r="I35" s="126" t="s">
        <v>224</v>
      </c>
      <c r="J35" s="126" t="s">
        <v>225</v>
      </c>
      <c r="K35" s="127">
        <v>6</v>
      </c>
      <c r="L35" s="126" t="s">
        <v>153</v>
      </c>
      <c r="M35" s="127">
        <v>2022</v>
      </c>
      <c r="N35" s="252"/>
    </row>
    <row r="36" spans="3:14" ht="21.75" customHeight="1">
      <c r="C36" s="250"/>
      <c r="D36" s="122">
        <v>25</v>
      </c>
      <c r="E36" s="143" t="s">
        <v>54</v>
      </c>
      <c r="F36" s="147" t="s">
        <v>92</v>
      </c>
      <c r="G36" s="145">
        <v>9</v>
      </c>
      <c r="H36" s="123" t="s">
        <v>226</v>
      </c>
      <c r="I36" s="123" t="s">
        <v>227</v>
      </c>
      <c r="J36" s="123" t="s">
        <v>228</v>
      </c>
      <c r="K36" s="124">
        <v>14</v>
      </c>
      <c r="L36" s="123" t="s">
        <v>229</v>
      </c>
      <c r="M36" s="124">
        <v>2022</v>
      </c>
      <c r="N36" s="252"/>
    </row>
    <row r="37" spans="3:14" ht="21.75" customHeight="1">
      <c r="C37" s="250"/>
      <c r="D37" s="125">
        <v>26</v>
      </c>
      <c r="E37" s="144" t="s">
        <v>55</v>
      </c>
      <c r="F37" s="147" t="s">
        <v>92</v>
      </c>
      <c r="G37" s="146">
        <v>31</v>
      </c>
      <c r="H37" s="126" t="s">
        <v>230</v>
      </c>
      <c r="I37" s="126" t="s">
        <v>231</v>
      </c>
      <c r="J37" s="126" t="s">
        <v>232</v>
      </c>
      <c r="K37" s="127">
        <v>3</v>
      </c>
      <c r="L37" s="126" t="s">
        <v>153</v>
      </c>
      <c r="M37" s="127">
        <v>2018</v>
      </c>
      <c r="N37" s="252"/>
    </row>
    <row r="38" spans="3:14" ht="21.75" customHeight="1">
      <c r="C38" s="250"/>
      <c r="D38" s="122">
        <v>27</v>
      </c>
      <c r="E38" s="143" t="s">
        <v>60</v>
      </c>
      <c r="F38" s="147" t="s">
        <v>92</v>
      </c>
      <c r="G38" s="145">
        <v>20</v>
      </c>
      <c r="H38" s="123" t="s">
        <v>233</v>
      </c>
      <c r="I38" s="123" t="s">
        <v>234</v>
      </c>
      <c r="J38" s="123" t="s">
        <v>235</v>
      </c>
      <c r="K38" s="124">
        <v>6</v>
      </c>
      <c r="L38" s="123" t="s">
        <v>153</v>
      </c>
      <c r="M38" s="124">
        <v>2022</v>
      </c>
      <c r="N38" s="252"/>
    </row>
    <row r="39" spans="3:14" ht="21.75" customHeight="1">
      <c r="C39" s="250"/>
      <c r="D39" s="125">
        <v>28</v>
      </c>
      <c r="E39" s="144" t="s">
        <v>61</v>
      </c>
      <c r="F39" s="147" t="s">
        <v>92</v>
      </c>
      <c r="G39" s="146">
        <v>90</v>
      </c>
      <c r="H39" s="126" t="s">
        <v>236</v>
      </c>
      <c r="I39" s="126" t="s">
        <v>237</v>
      </c>
      <c r="J39" s="126" t="s">
        <v>238</v>
      </c>
      <c r="K39" s="127">
        <v>2</v>
      </c>
      <c r="L39" s="126" t="s">
        <v>153</v>
      </c>
      <c r="M39" s="127">
        <v>2010</v>
      </c>
      <c r="N39" s="252"/>
    </row>
    <row r="40" spans="3:14" ht="21.75" customHeight="1">
      <c r="C40" s="250"/>
      <c r="D40" s="122">
        <v>29</v>
      </c>
      <c r="E40" s="143" t="s">
        <v>51</v>
      </c>
      <c r="F40" s="147" t="s">
        <v>92</v>
      </c>
      <c r="G40" s="145">
        <v>70</v>
      </c>
      <c r="H40" s="123" t="s">
        <v>239</v>
      </c>
      <c r="I40" s="123" t="s">
        <v>240</v>
      </c>
      <c r="J40" s="123" t="s">
        <v>241</v>
      </c>
      <c r="K40" s="124">
        <v>0</v>
      </c>
      <c r="L40" s="123" t="s">
        <v>199</v>
      </c>
      <c r="M40" s="124" t="s">
        <v>199</v>
      </c>
      <c r="N40" s="252"/>
    </row>
    <row r="41" spans="3:14" ht="21.75" customHeight="1">
      <c r="C41" s="250"/>
      <c r="D41" s="125">
        <v>30</v>
      </c>
      <c r="E41" s="144" t="s">
        <v>57</v>
      </c>
      <c r="F41" s="147" t="s">
        <v>92</v>
      </c>
      <c r="G41" s="146">
        <v>58</v>
      </c>
      <c r="H41" s="126" t="s">
        <v>242</v>
      </c>
      <c r="I41" s="126" t="s">
        <v>243</v>
      </c>
      <c r="J41" s="126" t="s">
        <v>244</v>
      </c>
      <c r="K41" s="127">
        <v>6</v>
      </c>
      <c r="L41" s="126" t="s">
        <v>245</v>
      </c>
      <c r="M41" s="127">
        <v>2022</v>
      </c>
      <c r="N41" s="252"/>
    </row>
    <row r="42" spans="3:14" ht="21.75" customHeight="1">
      <c r="C42" s="250"/>
      <c r="D42" s="122">
        <v>31</v>
      </c>
      <c r="E42" s="143" t="s">
        <v>50</v>
      </c>
      <c r="F42" s="147" t="s">
        <v>92</v>
      </c>
      <c r="G42" s="145">
        <v>2</v>
      </c>
      <c r="H42" s="123" t="s">
        <v>246</v>
      </c>
      <c r="I42" s="123" t="s">
        <v>247</v>
      </c>
      <c r="J42" s="123" t="s">
        <v>248</v>
      </c>
      <c r="K42" s="124">
        <v>16</v>
      </c>
      <c r="L42" s="123" t="s">
        <v>249</v>
      </c>
      <c r="M42" s="124">
        <v>2022</v>
      </c>
      <c r="N42" s="252"/>
    </row>
    <row r="43" spans="3:14" ht="21.75" customHeight="1">
      <c r="C43" s="250"/>
      <c r="D43" s="125">
        <v>32</v>
      </c>
      <c r="E43" s="144" t="s">
        <v>58</v>
      </c>
      <c r="F43" s="147" t="s">
        <v>92</v>
      </c>
      <c r="G43" s="146">
        <v>17</v>
      </c>
      <c r="H43" s="126" t="s">
        <v>250</v>
      </c>
      <c r="I43" s="126" t="s">
        <v>251</v>
      </c>
      <c r="J43" s="126" t="s">
        <v>252</v>
      </c>
      <c r="K43" s="127">
        <v>15</v>
      </c>
      <c r="L43" s="126" t="s">
        <v>253</v>
      </c>
      <c r="M43" s="127">
        <v>2022</v>
      </c>
      <c r="N43" s="252"/>
    </row>
    <row r="44" spans="3:14" ht="21.75" customHeight="1">
      <c r="C44" s="250"/>
      <c r="D44" s="122">
        <v>33</v>
      </c>
      <c r="E44" s="143" t="s">
        <v>63</v>
      </c>
      <c r="F44" s="147" t="s">
        <v>92</v>
      </c>
      <c r="G44" s="145">
        <v>1</v>
      </c>
      <c r="H44" s="123" t="s">
        <v>254</v>
      </c>
      <c r="I44" s="123" t="s">
        <v>255</v>
      </c>
      <c r="J44" s="123" t="s">
        <v>256</v>
      </c>
      <c r="K44" s="124">
        <v>17</v>
      </c>
      <c r="L44" s="123" t="s">
        <v>257</v>
      </c>
      <c r="M44" s="124">
        <v>2022</v>
      </c>
      <c r="N44" s="252"/>
    </row>
    <row r="45" spans="3:14" ht="21.75" customHeight="1">
      <c r="C45" s="250"/>
      <c r="D45" s="125">
        <v>34</v>
      </c>
      <c r="E45" s="144" t="s">
        <v>65</v>
      </c>
      <c r="F45" s="147" t="s">
        <v>92</v>
      </c>
      <c r="G45" s="146">
        <v>58</v>
      </c>
      <c r="H45" s="126" t="s">
        <v>258</v>
      </c>
      <c r="I45" s="126" t="s">
        <v>259</v>
      </c>
      <c r="J45" s="126" t="s">
        <v>260</v>
      </c>
      <c r="K45" s="127">
        <v>1</v>
      </c>
      <c r="L45" s="126" t="s">
        <v>153</v>
      </c>
      <c r="M45" s="127">
        <v>1986</v>
      </c>
      <c r="N45" s="252"/>
    </row>
    <row r="46" spans="3:14" ht="21.75" customHeight="1">
      <c r="C46" s="250"/>
      <c r="D46" s="122">
        <v>35</v>
      </c>
      <c r="E46" s="143" t="s">
        <v>66</v>
      </c>
      <c r="F46" s="147" t="s">
        <v>92</v>
      </c>
      <c r="G46" s="145">
        <v>32</v>
      </c>
      <c r="H46" s="123" t="s">
        <v>261</v>
      </c>
      <c r="I46" s="123" t="s">
        <v>262</v>
      </c>
      <c r="J46" s="123" t="s">
        <v>263</v>
      </c>
      <c r="K46" s="124">
        <v>3</v>
      </c>
      <c r="L46" s="123" t="s">
        <v>264</v>
      </c>
      <c r="M46" s="124">
        <v>1998</v>
      </c>
      <c r="N46" s="252"/>
    </row>
    <row r="47" spans="3:14" ht="21.75" customHeight="1">
      <c r="C47" s="250"/>
      <c r="D47" s="125">
        <v>36</v>
      </c>
      <c r="E47" s="144" t="s">
        <v>64</v>
      </c>
      <c r="F47" s="147" t="s">
        <v>92</v>
      </c>
      <c r="G47" s="146">
        <v>12</v>
      </c>
      <c r="H47" s="126" t="s">
        <v>265</v>
      </c>
      <c r="I47" s="126" t="s">
        <v>266</v>
      </c>
      <c r="J47" s="126" t="s">
        <v>267</v>
      </c>
      <c r="K47" s="127">
        <v>4</v>
      </c>
      <c r="L47" s="126" t="s">
        <v>268</v>
      </c>
      <c r="M47" s="127">
        <v>2022</v>
      </c>
      <c r="N47" s="252"/>
    </row>
    <row r="48" spans="3:14" ht="21.75" customHeight="1">
      <c r="C48" s="250"/>
      <c r="D48" s="122">
        <v>37</v>
      </c>
      <c r="E48" s="143" t="s">
        <v>69</v>
      </c>
      <c r="F48" s="147" t="s">
        <v>92</v>
      </c>
      <c r="G48" s="145">
        <v>28</v>
      </c>
      <c r="H48" s="123" t="s">
        <v>269</v>
      </c>
      <c r="I48" s="123" t="s">
        <v>270</v>
      </c>
      <c r="J48" s="123" t="s">
        <v>271</v>
      </c>
      <c r="K48" s="124">
        <v>4</v>
      </c>
      <c r="L48" s="123" t="s">
        <v>272</v>
      </c>
      <c r="M48" s="124">
        <v>2014</v>
      </c>
      <c r="N48" s="252"/>
    </row>
    <row r="49" spans="3:14" ht="21.75" customHeight="1">
      <c r="C49" s="250"/>
      <c r="D49" s="125">
        <v>38</v>
      </c>
      <c r="E49" s="144" t="s">
        <v>68</v>
      </c>
      <c r="F49" s="147" t="s">
        <v>92</v>
      </c>
      <c r="G49" s="146">
        <v>3</v>
      </c>
      <c r="H49" s="126" t="s">
        <v>273</v>
      </c>
      <c r="I49" s="126" t="s">
        <v>274</v>
      </c>
      <c r="J49" s="126" t="s">
        <v>275</v>
      </c>
      <c r="K49" s="127">
        <v>18</v>
      </c>
      <c r="L49" s="126" t="s">
        <v>276</v>
      </c>
      <c r="M49" s="127">
        <v>2022</v>
      </c>
      <c r="N49" s="252"/>
    </row>
    <row r="50" spans="3:14" ht="21.75" customHeight="1">
      <c r="C50" s="250"/>
      <c r="D50" s="122">
        <v>39</v>
      </c>
      <c r="E50" s="143" t="s">
        <v>71</v>
      </c>
      <c r="F50" s="147" t="s">
        <v>92</v>
      </c>
      <c r="G50" s="145">
        <v>24</v>
      </c>
      <c r="H50" s="123" t="s">
        <v>277</v>
      </c>
      <c r="I50" s="123" t="s">
        <v>278</v>
      </c>
      <c r="J50" s="123" t="s">
        <v>279</v>
      </c>
      <c r="K50" s="124">
        <v>7</v>
      </c>
      <c r="L50" s="123" t="s">
        <v>280</v>
      </c>
      <c r="M50" s="124">
        <v>1998</v>
      </c>
      <c r="N50" s="252"/>
    </row>
    <row r="51" spans="3:14" ht="21.75" customHeight="1">
      <c r="C51" s="250"/>
      <c r="D51" s="125">
        <v>40</v>
      </c>
      <c r="E51" s="144" t="s">
        <v>72</v>
      </c>
      <c r="F51" s="147" t="s">
        <v>92</v>
      </c>
      <c r="G51" s="146">
        <v>62</v>
      </c>
      <c r="H51" s="126" t="s">
        <v>281</v>
      </c>
      <c r="I51" s="126" t="s">
        <v>282</v>
      </c>
      <c r="J51" s="126" t="s">
        <v>283</v>
      </c>
      <c r="K51" s="127">
        <v>0</v>
      </c>
      <c r="L51" s="126" t="s">
        <v>199</v>
      </c>
      <c r="M51" s="127" t="s">
        <v>199</v>
      </c>
      <c r="N51" s="252"/>
    </row>
    <row r="52" spans="3:14" ht="21.75" customHeight="1">
      <c r="C52" s="250"/>
      <c r="D52" s="122">
        <v>41</v>
      </c>
      <c r="E52" s="143" t="s">
        <v>82</v>
      </c>
      <c r="F52" s="147" t="s">
        <v>92</v>
      </c>
      <c r="G52" s="145">
        <v>14</v>
      </c>
      <c r="H52" s="123" t="s">
        <v>284</v>
      </c>
      <c r="I52" s="123" t="s">
        <v>285</v>
      </c>
      <c r="J52" s="123" t="s">
        <v>286</v>
      </c>
      <c r="K52" s="124">
        <v>7</v>
      </c>
      <c r="L52" s="123" t="s">
        <v>287</v>
      </c>
      <c r="M52" s="124">
        <v>2018</v>
      </c>
      <c r="N52" s="252"/>
    </row>
    <row r="53" spans="3:14" ht="21.75" customHeight="1">
      <c r="C53" s="250"/>
      <c r="D53" s="125">
        <v>42</v>
      </c>
      <c r="E53" s="144" t="s">
        <v>75</v>
      </c>
      <c r="F53" s="147" t="s">
        <v>92</v>
      </c>
      <c r="G53" s="146">
        <v>48</v>
      </c>
      <c r="H53" s="126" t="s">
        <v>288</v>
      </c>
      <c r="I53" s="126" t="s">
        <v>289</v>
      </c>
      <c r="J53" s="126" t="s">
        <v>290</v>
      </c>
      <c r="K53" s="127">
        <v>2</v>
      </c>
      <c r="L53" s="126" t="s">
        <v>291</v>
      </c>
      <c r="M53" s="127">
        <v>1974</v>
      </c>
      <c r="N53" s="252"/>
    </row>
    <row r="54" spans="3:14" ht="21.75" customHeight="1">
      <c r="C54" s="250"/>
      <c r="D54" s="122">
        <v>43</v>
      </c>
      <c r="E54" s="143" t="s">
        <v>74</v>
      </c>
      <c r="F54" s="147" t="s">
        <v>92</v>
      </c>
      <c r="G54" s="145">
        <v>4</v>
      </c>
      <c r="H54" s="123" t="s">
        <v>292</v>
      </c>
      <c r="I54" s="123" t="s">
        <v>293</v>
      </c>
      <c r="J54" s="123" t="s">
        <v>294</v>
      </c>
      <c r="K54" s="124">
        <v>8</v>
      </c>
      <c r="L54" s="123" t="s">
        <v>295</v>
      </c>
      <c r="M54" s="124">
        <v>2022</v>
      </c>
      <c r="N54" s="252"/>
    </row>
    <row r="55" spans="3:14" ht="21.75" customHeight="1">
      <c r="C55" s="250"/>
      <c r="D55" s="125">
        <v>44</v>
      </c>
      <c r="E55" s="144" t="s">
        <v>81</v>
      </c>
      <c r="F55" s="147" t="s">
        <v>92</v>
      </c>
      <c r="G55" s="146">
        <v>57</v>
      </c>
      <c r="H55" s="126" t="s">
        <v>296</v>
      </c>
      <c r="I55" s="126" t="s">
        <v>297</v>
      </c>
      <c r="J55" s="126" t="s">
        <v>298</v>
      </c>
      <c r="K55" s="127">
        <v>0</v>
      </c>
      <c r="L55" s="126" t="s">
        <v>199</v>
      </c>
      <c r="M55" s="127" t="s">
        <v>199</v>
      </c>
      <c r="N55" s="252"/>
    </row>
    <row r="56" spans="3:14" ht="21.75" customHeight="1">
      <c r="C56" s="250"/>
      <c r="D56" s="122">
        <v>45</v>
      </c>
      <c r="E56" s="143" t="s">
        <v>78</v>
      </c>
      <c r="F56" s="147" t="s">
        <v>92</v>
      </c>
      <c r="G56" s="145">
        <v>11</v>
      </c>
      <c r="H56" s="123" t="s">
        <v>299</v>
      </c>
      <c r="I56" s="123" t="s">
        <v>300</v>
      </c>
      <c r="J56" s="123" t="s">
        <v>301</v>
      </c>
      <c r="K56" s="124">
        <v>7</v>
      </c>
      <c r="L56" s="123" t="s">
        <v>302</v>
      </c>
      <c r="M56" s="124">
        <v>2022</v>
      </c>
      <c r="N56" s="252"/>
    </row>
    <row r="57" spans="3:14" ht="21.75" customHeight="1">
      <c r="C57" s="250"/>
      <c r="D57" s="125">
        <v>46</v>
      </c>
      <c r="E57" s="144" t="s">
        <v>77</v>
      </c>
      <c r="F57" s="147" t="s">
        <v>92</v>
      </c>
      <c r="G57" s="146">
        <v>4</v>
      </c>
      <c r="H57" s="126" t="s">
        <v>303</v>
      </c>
      <c r="I57" s="126" t="s">
        <v>304</v>
      </c>
      <c r="J57" s="126" t="s">
        <v>305</v>
      </c>
      <c r="K57" s="127">
        <v>17</v>
      </c>
      <c r="L57" s="126" t="s">
        <v>306</v>
      </c>
      <c r="M57" s="127">
        <v>2022</v>
      </c>
      <c r="N57" s="252"/>
    </row>
    <row r="58" spans="3:14" ht="21.75" customHeight="1">
      <c r="C58" s="250"/>
      <c r="D58" s="122">
        <v>47</v>
      </c>
      <c r="E58" s="143" t="s">
        <v>79</v>
      </c>
      <c r="F58" s="147" t="s">
        <v>92</v>
      </c>
      <c r="G58" s="145">
        <v>77</v>
      </c>
      <c r="H58" s="123" t="s">
        <v>307</v>
      </c>
      <c r="I58" s="123" t="s">
        <v>308</v>
      </c>
      <c r="J58" s="123" t="s">
        <v>309</v>
      </c>
      <c r="K58" s="124">
        <v>4</v>
      </c>
      <c r="L58" s="123" t="s">
        <v>187</v>
      </c>
      <c r="M58" s="124">
        <v>2022</v>
      </c>
      <c r="N58" s="252"/>
    </row>
    <row r="59" spans="3:14" ht="21.75" customHeight="1">
      <c r="C59" s="250"/>
      <c r="D59" s="125">
        <v>48</v>
      </c>
      <c r="E59" s="144" t="s">
        <v>80</v>
      </c>
      <c r="F59" s="147" t="s">
        <v>92</v>
      </c>
      <c r="G59" s="146">
        <v>33</v>
      </c>
      <c r="H59" s="126" t="s">
        <v>310</v>
      </c>
      <c r="I59" s="126" t="s">
        <v>311</v>
      </c>
      <c r="J59" s="126" t="s">
        <v>312</v>
      </c>
      <c r="K59" s="127">
        <v>1</v>
      </c>
      <c r="L59" s="126" t="s">
        <v>153</v>
      </c>
      <c r="M59" s="127">
        <v>2018</v>
      </c>
      <c r="N59" s="252"/>
    </row>
    <row r="60" spans="3:14" ht="7.5" customHeight="1">
      <c r="C60" s="120"/>
      <c r="D60" s="253"/>
      <c r="E60" s="253"/>
      <c r="F60" s="253"/>
      <c r="G60" s="253"/>
      <c r="H60" s="253"/>
      <c r="I60" s="253"/>
      <c r="J60" s="253"/>
      <c r="K60" s="253"/>
      <c r="L60" s="253"/>
      <c r="M60" s="253"/>
    </row>
    <row r="61" spans="3:14" ht="7.5" customHeight="1">
      <c r="C61" s="120"/>
      <c r="D61" s="120"/>
      <c r="E61" s="120"/>
      <c r="F61" s="120"/>
      <c r="G61" s="120"/>
      <c r="H61" s="120"/>
      <c r="I61" s="120"/>
      <c r="J61" s="120"/>
      <c r="K61" s="120"/>
      <c r="L61" s="120"/>
      <c r="M61" s="120"/>
    </row>
    <row r="62" spans="3:14" ht="15" customHeight="1">
      <c r="C62" s="120"/>
      <c r="D62" s="120"/>
      <c r="E62" s="120"/>
      <c r="F62" s="120"/>
      <c r="G62" s="120"/>
      <c r="H62" s="120"/>
      <c r="I62" s="120"/>
      <c r="J62" s="120"/>
      <c r="K62" s="120"/>
      <c r="L62" s="120"/>
      <c r="M62" s="120"/>
    </row>
    <row r="63" spans="3:14" ht="15" customHeight="1">
      <c r="C63" s="120"/>
      <c r="D63" s="120"/>
      <c r="E63" s="120"/>
      <c r="F63" s="120"/>
      <c r="G63" s="120"/>
      <c r="H63" s="120"/>
      <c r="I63" s="120"/>
      <c r="J63" s="120"/>
      <c r="K63" s="120"/>
      <c r="L63" s="120"/>
      <c r="M63" s="120"/>
    </row>
    <row r="64" spans="3:14" ht="15" customHeight="1">
      <c r="C64" s="120"/>
      <c r="D64" s="120"/>
      <c r="E64" s="120"/>
      <c r="F64" s="120"/>
      <c r="G64" s="120"/>
      <c r="H64" s="120"/>
      <c r="I64" s="120"/>
      <c r="J64" s="120"/>
      <c r="K64" s="120"/>
      <c r="L64" s="120"/>
      <c r="M64" s="120"/>
    </row>
    <row r="65" spans="3:13" ht="15" customHeight="1">
      <c r="C65" s="120"/>
      <c r="D65" s="120"/>
      <c r="E65" s="120"/>
      <c r="F65" s="120"/>
      <c r="G65" s="120"/>
      <c r="H65" s="120"/>
      <c r="I65" s="120"/>
      <c r="J65" s="120"/>
      <c r="K65" s="120"/>
      <c r="L65" s="120"/>
      <c r="M65" s="120"/>
    </row>
    <row r="66" spans="3:13" ht="15" customHeight="1">
      <c r="C66" s="120"/>
      <c r="D66" s="120"/>
      <c r="E66" s="120"/>
      <c r="F66" s="120"/>
      <c r="G66" s="120"/>
      <c r="H66" s="120"/>
      <c r="I66" s="120"/>
      <c r="J66" s="120"/>
      <c r="K66" s="120"/>
      <c r="L66" s="120"/>
      <c r="M66" s="120"/>
    </row>
    <row r="67" spans="3:13" ht="15" customHeight="1">
      <c r="C67" s="120"/>
      <c r="D67" s="120"/>
      <c r="E67" s="120"/>
      <c r="F67" s="120"/>
      <c r="G67" s="120"/>
      <c r="H67" s="120"/>
      <c r="I67" s="120"/>
      <c r="J67" s="120"/>
      <c r="K67" s="120"/>
      <c r="L67" s="120"/>
      <c r="M67" s="120"/>
    </row>
    <row r="68" spans="3:13" ht="15" customHeight="1">
      <c r="C68" s="120"/>
      <c r="D68" s="120"/>
      <c r="E68" s="120"/>
      <c r="F68" s="120"/>
      <c r="G68" s="120"/>
      <c r="H68" s="120"/>
      <c r="I68" s="120"/>
      <c r="J68" s="120"/>
      <c r="K68" s="120"/>
      <c r="L68" s="120"/>
      <c r="M68" s="120"/>
    </row>
    <row r="69" spans="3:13" ht="15" customHeight="1">
      <c r="C69" s="120"/>
      <c r="D69" s="120"/>
      <c r="E69" s="120"/>
      <c r="F69" s="120"/>
      <c r="G69" s="120"/>
      <c r="H69" s="120"/>
      <c r="I69" s="120"/>
      <c r="J69" s="120"/>
      <c r="K69" s="120"/>
      <c r="L69" s="120"/>
      <c r="M69" s="120"/>
    </row>
    <row r="70" spans="3:13" ht="15" customHeight="1">
      <c r="C70" s="120"/>
      <c r="D70" s="120"/>
      <c r="E70" s="120"/>
      <c r="F70" s="120"/>
      <c r="G70" s="120"/>
      <c r="H70" s="120"/>
      <c r="I70" s="120"/>
      <c r="J70" s="120"/>
      <c r="K70" s="120"/>
      <c r="L70" s="120"/>
      <c r="M70" s="120"/>
    </row>
    <row r="120" spans="23:23">
      <c r="W120" s="121">
        <v>1</v>
      </c>
    </row>
  </sheetData>
  <sheetProtection sheet="1" scenarios="1" formatCells="0" formatColumns="0" formatRows="0" sort="0" autoFilter="0"/>
  <mergeCells count="3">
    <mergeCell ref="D7:M7"/>
    <mergeCell ref="D8:M8"/>
    <mergeCell ref="D9:M9"/>
  </mergeCells>
  <pageMargins left="0.75" right="0.75" top="1" bottom="1"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8080"/>
  </sheetPr>
  <dimension ref="A1:AB1003"/>
  <sheetViews>
    <sheetView showGridLines="0" zoomScaleNormal="100" workbookViewId="0"/>
  </sheetViews>
  <sheetFormatPr baseColWidth="10" defaultColWidth="11.28515625" defaultRowHeight="15" customHeight="1"/>
  <cols>
    <col min="1" max="2" width="1.28515625" style="187" customWidth="1"/>
    <col min="3" max="3" width="1.28515625" customWidth="1"/>
    <col min="4" max="4" width="23.7109375" customWidth="1"/>
    <col min="5" max="5" width="1.7109375" customWidth="1"/>
    <col min="6" max="6" width="28" customWidth="1"/>
    <col min="7" max="7" width="4" customWidth="1"/>
    <col min="8" max="19" width="12" customWidth="1"/>
    <col min="20" max="27" width="12" hidden="1" customWidth="1"/>
    <col min="28" max="28" width="8.5703125" customWidth="1"/>
  </cols>
  <sheetData>
    <row r="1" spans="1:28" s="121" customFormat="1" ht="6" customHeight="1">
      <c r="A1" s="187"/>
      <c r="B1" s="187"/>
      <c r="C1" s="120"/>
      <c r="D1" s="120"/>
      <c r="E1" s="120"/>
      <c r="F1" s="120"/>
      <c r="G1" s="120"/>
      <c r="H1" s="120"/>
      <c r="I1" s="120"/>
      <c r="J1" s="120"/>
      <c r="K1" s="120"/>
      <c r="L1" s="120"/>
      <c r="M1" s="120"/>
    </row>
    <row r="2" spans="1:28" s="161" customFormat="1" ht="15" customHeight="1">
      <c r="A2" s="187"/>
      <c r="B2" s="187"/>
      <c r="C2" s="254"/>
      <c r="D2" s="254"/>
      <c r="E2" s="254"/>
      <c r="F2" s="254"/>
      <c r="G2" s="254"/>
      <c r="H2" s="254"/>
      <c r="I2" s="254"/>
      <c r="J2" s="254"/>
      <c r="K2" s="254"/>
      <c r="L2" s="254"/>
      <c r="M2" s="254"/>
    </row>
    <row r="3" spans="1:28" s="161" customFormat="1" ht="7.5" customHeight="1">
      <c r="A3" s="187"/>
      <c r="B3" s="187"/>
      <c r="C3" s="254"/>
      <c r="D3" s="254"/>
      <c r="E3" s="254"/>
      <c r="F3" s="254"/>
      <c r="G3" s="254"/>
      <c r="H3" s="254"/>
      <c r="I3" s="254"/>
      <c r="J3" s="254"/>
      <c r="K3" s="254"/>
      <c r="L3" s="254"/>
      <c r="M3" s="254"/>
    </row>
    <row r="4" spans="1:28" s="161" customFormat="1" ht="7.5" customHeight="1">
      <c r="A4" s="187"/>
      <c r="B4" s="187"/>
      <c r="C4" s="254"/>
      <c r="D4" s="254"/>
      <c r="E4" s="254"/>
      <c r="F4" s="254"/>
      <c r="G4" s="254"/>
      <c r="H4" s="254"/>
      <c r="I4" s="254"/>
      <c r="J4" s="254"/>
      <c r="K4" s="254"/>
      <c r="L4" s="254"/>
      <c r="M4" s="254"/>
    </row>
    <row r="5" spans="1:28" s="121" customFormat="1" ht="31.5" customHeight="1">
      <c r="A5" s="187"/>
      <c r="B5" s="187"/>
      <c r="C5" s="120"/>
      <c r="D5" s="385" t="str">
        <f>VLOOKUP("settings_title",langTable,MATCH(langName,_lang!$A$1:$F$1,0),FALSE())</f>
        <v xml:space="preserve">&gt;&gt;&gt; SETTINGS  </v>
      </c>
      <c r="E5" s="386"/>
      <c r="F5" s="386"/>
      <c r="G5" s="386"/>
      <c r="H5" s="386"/>
      <c r="I5" s="386"/>
      <c r="J5" s="386"/>
      <c r="K5" s="386"/>
      <c r="L5" s="386"/>
      <c r="M5" s="386"/>
    </row>
    <row r="6" spans="1:28" ht="15" customHeight="1">
      <c r="C6" s="66"/>
      <c r="D6" s="66"/>
      <c r="E6" s="66"/>
      <c r="F6" s="66"/>
      <c r="G6" s="66"/>
      <c r="H6" s="66"/>
      <c r="I6" s="66"/>
      <c r="J6" s="66"/>
      <c r="K6" s="66"/>
      <c r="L6" s="66"/>
      <c r="M6" s="66"/>
      <c r="N6" s="66"/>
      <c r="O6" s="66"/>
      <c r="P6" s="66"/>
      <c r="Q6" s="10"/>
      <c r="R6" s="10"/>
      <c r="S6" s="10"/>
      <c r="T6" s="10"/>
      <c r="U6" s="10"/>
      <c r="V6" s="10"/>
      <c r="W6" s="10"/>
      <c r="X6" s="10"/>
      <c r="Y6" s="10"/>
      <c r="Z6" s="10"/>
      <c r="AA6" s="10"/>
      <c r="AB6" s="10"/>
    </row>
    <row r="7" spans="1:28" ht="19.5" customHeight="1">
      <c r="C7" s="66"/>
      <c r="D7" s="389" t="str">
        <f>VLOOKUP("settings_intro",langTable,MATCH(langName,_lang!$A$1:$F$1,0),FALSE())</f>
        <v>Use the dropdowns below to change the language and timezone across the whole workbook. The change applies to every sheet instantly.</v>
      </c>
      <c r="E7" s="267"/>
      <c r="F7" s="267"/>
      <c r="G7" s="66"/>
      <c r="H7" s="66"/>
      <c r="I7" s="66"/>
      <c r="J7" s="66"/>
      <c r="K7" s="66"/>
      <c r="L7" s="66"/>
      <c r="M7" s="66"/>
      <c r="N7" s="66"/>
      <c r="O7" s="66"/>
      <c r="P7" s="66"/>
      <c r="Q7" s="10"/>
      <c r="R7" s="10"/>
      <c r="S7" s="10"/>
      <c r="T7" s="10"/>
      <c r="U7" s="10" t="s">
        <v>313</v>
      </c>
      <c r="V7" s="10">
        <v>1</v>
      </c>
      <c r="W7" s="10" t="s">
        <v>314</v>
      </c>
      <c r="X7" s="10"/>
      <c r="Y7" s="10" t="s">
        <v>315</v>
      </c>
      <c r="Z7" s="10" t="s">
        <v>316</v>
      </c>
      <c r="AA7" s="10" t="str">
        <f>VLOOKUP(langName,$Y$7:$Z$11,2,FALSE)</f>
        <v>EN</v>
      </c>
      <c r="AB7" s="10"/>
    </row>
    <row r="8" spans="1:28" ht="43" customHeight="1">
      <c r="C8" s="66"/>
      <c r="D8" s="267"/>
      <c r="E8" s="267"/>
      <c r="F8" s="267"/>
      <c r="G8" s="66"/>
      <c r="H8" s="66"/>
      <c r="I8" s="66"/>
      <c r="J8" s="66"/>
      <c r="K8" s="66"/>
      <c r="L8" s="66"/>
      <c r="M8" s="66"/>
      <c r="N8" s="66"/>
      <c r="O8" s="66"/>
      <c r="P8" s="66"/>
      <c r="Q8" s="10"/>
      <c r="R8" s="10"/>
      <c r="S8" s="10"/>
      <c r="T8" s="10"/>
      <c r="U8" s="10" t="s">
        <v>317</v>
      </c>
      <c r="V8" s="10">
        <v>0</v>
      </c>
      <c r="W8" s="10" t="s">
        <v>318</v>
      </c>
      <c r="X8" s="10"/>
      <c r="Y8" s="10" t="s">
        <v>319</v>
      </c>
      <c r="Z8" s="10" t="s">
        <v>320</v>
      </c>
      <c r="AA8" s="10">
        <f>VLOOKUP($F$14,$U$7:$W$16,2,FALSE())</f>
        <v>1</v>
      </c>
      <c r="AB8" s="10"/>
    </row>
    <row r="9" spans="1:28" ht="15" customHeight="1">
      <c r="C9" s="66"/>
      <c r="D9" s="66"/>
      <c r="E9" s="66"/>
      <c r="F9" s="66"/>
      <c r="G9" s="66"/>
      <c r="H9" s="66"/>
      <c r="I9" s="66"/>
      <c r="J9" s="66"/>
      <c r="K9" s="66"/>
      <c r="L9" s="66"/>
      <c r="M9" s="66"/>
      <c r="N9" s="66"/>
      <c r="O9" s="66"/>
      <c r="P9" s="66"/>
      <c r="Q9" s="10"/>
      <c r="R9" s="10"/>
      <c r="S9" s="10"/>
      <c r="T9" s="10"/>
      <c r="U9" s="10" t="s">
        <v>321</v>
      </c>
      <c r="V9" s="10">
        <v>2</v>
      </c>
      <c r="W9" s="10" t="s">
        <v>322</v>
      </c>
      <c r="X9" s="10"/>
      <c r="Y9" s="10" t="s">
        <v>323</v>
      </c>
      <c r="Z9" s="10" t="s">
        <v>324</v>
      </c>
      <c r="AA9" s="10" t="str">
        <f>VLOOKUP($F$14,$U$7:$W$16,3,FALSE())</f>
        <v>UK</v>
      </c>
      <c r="AB9" s="10"/>
    </row>
    <row r="10" spans="1:28" ht="6" customHeight="1">
      <c r="C10" s="66"/>
      <c r="D10" s="66"/>
      <c r="E10" s="66"/>
      <c r="F10" s="66"/>
      <c r="G10" s="66"/>
      <c r="H10" s="66"/>
      <c r="I10" s="66"/>
      <c r="J10" s="66"/>
      <c r="K10" s="66"/>
      <c r="L10" s="66"/>
      <c r="M10" s="66"/>
      <c r="N10" s="66"/>
      <c r="O10" s="66"/>
      <c r="P10" s="66"/>
      <c r="Q10" s="10"/>
      <c r="R10" s="10"/>
      <c r="S10" s="10"/>
      <c r="T10" s="10"/>
      <c r="U10" s="10" t="s">
        <v>325</v>
      </c>
      <c r="V10" s="10">
        <v>-4</v>
      </c>
      <c r="W10" s="10" t="s">
        <v>326</v>
      </c>
      <c r="X10" s="10"/>
      <c r="Y10" s="10" t="s">
        <v>327</v>
      </c>
      <c r="Z10" s="10" t="s">
        <v>328</v>
      </c>
      <c r="AA10" s="10"/>
      <c r="AB10" s="10"/>
    </row>
    <row r="11" spans="1:28" ht="30" customHeight="1">
      <c r="C11" s="66"/>
      <c r="D11" s="159" t="str">
        <f>VLOOKUP("lang_label",langTable,MATCH(langName,_lang!$A$1:$F$1,0),FALSE())</f>
        <v>Language:</v>
      </c>
      <c r="E11" s="183"/>
      <c r="F11" s="264" t="s">
        <v>315</v>
      </c>
      <c r="G11" s="66"/>
      <c r="H11" s="66"/>
      <c r="I11" s="66"/>
      <c r="J11" s="66"/>
      <c r="K11" s="66"/>
      <c r="L11" s="66"/>
      <c r="M11" s="66"/>
      <c r="N11" s="66"/>
      <c r="O11" s="66"/>
      <c r="P11" s="66"/>
      <c r="Q11" s="10"/>
      <c r="R11" s="10"/>
      <c r="S11" s="10"/>
      <c r="T11" s="10"/>
      <c r="U11" s="10" t="s">
        <v>329</v>
      </c>
      <c r="V11" s="10">
        <v>-5</v>
      </c>
      <c r="W11" s="10" t="s">
        <v>330</v>
      </c>
      <c r="X11" s="10"/>
      <c r="Y11" s="10" t="s">
        <v>331</v>
      </c>
      <c r="Z11" s="10" t="s">
        <v>332</v>
      </c>
      <c r="AA11" s="10"/>
      <c r="AB11" s="10"/>
    </row>
    <row r="12" spans="1:28" ht="6" customHeight="1">
      <c r="C12" s="66"/>
      <c r="D12" s="183"/>
      <c r="E12" s="183"/>
      <c r="F12" s="183"/>
      <c r="G12" s="66"/>
      <c r="H12" s="66"/>
      <c r="I12" s="66"/>
      <c r="J12" s="66"/>
      <c r="K12" s="66"/>
      <c r="L12" s="66"/>
      <c r="M12" s="66"/>
      <c r="N12" s="66"/>
      <c r="O12" s="66"/>
      <c r="P12" s="66"/>
      <c r="Q12" s="10"/>
      <c r="R12" s="10"/>
      <c r="S12" s="10"/>
      <c r="T12" s="10"/>
      <c r="U12" s="10" t="s">
        <v>333</v>
      </c>
      <c r="V12" s="10">
        <v>-6</v>
      </c>
      <c r="W12" s="10" t="s">
        <v>334</v>
      </c>
      <c r="X12" s="10"/>
      <c r="Y12" s="10"/>
      <c r="Z12" s="10"/>
      <c r="AA12" s="10"/>
      <c r="AB12" s="10"/>
    </row>
    <row r="13" spans="1:28" ht="6" customHeight="1">
      <c r="C13" s="66"/>
      <c r="D13" s="183"/>
      <c r="E13" s="183"/>
      <c r="F13" s="183"/>
      <c r="G13" s="66"/>
      <c r="H13" s="66"/>
      <c r="I13" s="66"/>
      <c r="J13" s="66"/>
      <c r="K13" s="66"/>
      <c r="L13" s="66"/>
      <c r="M13" s="66"/>
      <c r="N13" s="66"/>
      <c r="O13" s="66"/>
      <c r="P13" s="66"/>
      <c r="Q13" s="10"/>
      <c r="R13" s="10"/>
      <c r="S13" s="10"/>
      <c r="T13" s="10"/>
      <c r="U13" s="10" t="s">
        <v>335</v>
      </c>
      <c r="V13" s="10">
        <v>-7</v>
      </c>
      <c r="W13" s="10" t="s">
        <v>332</v>
      </c>
      <c r="X13" s="10"/>
      <c r="Y13" s="10"/>
      <c r="Z13" s="10"/>
      <c r="AA13" s="10"/>
      <c r="AB13" s="10"/>
    </row>
    <row r="14" spans="1:28" ht="30" customHeight="1">
      <c r="C14" s="66"/>
      <c r="D14" s="159" t="str">
        <f>VLOOKUP("tz_label",langTable,MATCH(langName,_lang!$A$1:$F$1,0),FALSE())</f>
        <v>Timezone:</v>
      </c>
      <c r="E14" s="183"/>
      <c r="F14" s="265" t="s">
        <v>313</v>
      </c>
      <c r="G14" s="66"/>
      <c r="H14" s="66"/>
      <c r="I14" s="66"/>
      <c r="J14" s="66"/>
      <c r="K14" s="66"/>
      <c r="L14" s="66"/>
      <c r="M14" s="66"/>
      <c r="N14" s="66"/>
      <c r="O14" s="66"/>
      <c r="P14" s="66"/>
      <c r="Q14" s="10"/>
      <c r="R14" s="10"/>
      <c r="S14" s="10"/>
      <c r="T14" s="10"/>
      <c r="U14" s="10" t="s">
        <v>336</v>
      </c>
      <c r="V14" s="10">
        <v>10</v>
      </c>
      <c r="W14" s="10" t="s">
        <v>337</v>
      </c>
      <c r="X14" s="10"/>
      <c r="Y14" s="10"/>
      <c r="Z14" s="10"/>
      <c r="AA14" s="10"/>
      <c r="AB14" s="10"/>
    </row>
    <row r="15" spans="1:28" ht="15" customHeight="1">
      <c r="C15" s="66"/>
      <c r="D15" s="66"/>
      <c r="E15" s="66"/>
      <c r="F15" s="66"/>
      <c r="G15" s="66"/>
      <c r="H15" s="66"/>
      <c r="I15" s="66"/>
      <c r="J15" s="66"/>
      <c r="K15" s="66"/>
      <c r="L15" s="66"/>
      <c r="M15" s="66"/>
      <c r="N15" s="66"/>
      <c r="O15" s="66"/>
      <c r="P15" s="66"/>
      <c r="Q15" s="10"/>
      <c r="R15" s="10"/>
      <c r="S15" s="10"/>
      <c r="T15" s="10"/>
      <c r="U15" s="10" t="s">
        <v>338</v>
      </c>
      <c r="V15" s="10">
        <v>9</v>
      </c>
      <c r="W15" s="10" t="s">
        <v>339</v>
      </c>
      <c r="X15" s="10"/>
      <c r="Y15" s="10"/>
      <c r="Z15" s="10"/>
      <c r="AA15" s="10"/>
      <c r="AB15" s="10"/>
    </row>
    <row r="16" spans="1:28" ht="15" customHeight="1">
      <c r="C16" s="66"/>
      <c r="D16" s="66"/>
      <c r="E16" s="66"/>
      <c r="F16" s="66"/>
      <c r="G16" s="66"/>
      <c r="H16" s="66"/>
      <c r="I16" s="66"/>
      <c r="J16" s="66"/>
      <c r="K16" s="66"/>
      <c r="L16" s="66"/>
      <c r="M16" s="66"/>
      <c r="N16" s="66"/>
      <c r="O16" s="66"/>
      <c r="P16" s="66"/>
      <c r="Q16" s="10"/>
      <c r="R16" s="10"/>
      <c r="S16" s="10"/>
      <c r="T16" s="10"/>
      <c r="U16" s="10" t="s">
        <v>340</v>
      </c>
      <c r="V16" s="10">
        <v>-3</v>
      </c>
      <c r="W16" s="10" t="s">
        <v>341</v>
      </c>
      <c r="X16" s="10"/>
      <c r="Y16" s="10"/>
      <c r="Z16" s="10"/>
      <c r="AA16" s="10"/>
      <c r="AB16" s="10"/>
    </row>
    <row r="17" spans="3:28" ht="15" customHeight="1">
      <c r="C17" s="66"/>
      <c r="D17" s="66"/>
      <c r="E17" s="66"/>
      <c r="F17" s="66"/>
      <c r="G17" s="66"/>
      <c r="H17" s="66"/>
      <c r="I17" s="66"/>
      <c r="J17" s="66"/>
      <c r="K17" s="66"/>
      <c r="L17" s="66"/>
      <c r="M17" s="66"/>
      <c r="N17" s="66"/>
      <c r="O17" s="66"/>
      <c r="P17" s="66"/>
      <c r="Q17" s="10"/>
      <c r="R17" s="10"/>
      <c r="S17" s="10"/>
      <c r="T17" s="10"/>
      <c r="U17" s="10"/>
      <c r="V17" s="10"/>
      <c r="W17" s="10"/>
      <c r="X17" s="10"/>
      <c r="Y17" s="10"/>
      <c r="Z17" s="10"/>
      <c r="AA17" s="10"/>
      <c r="AB17" s="10"/>
    </row>
    <row r="18" spans="3:28" ht="15" customHeight="1">
      <c r="C18" s="66"/>
      <c r="D18" s="66"/>
      <c r="E18" s="66"/>
      <c r="F18" s="66"/>
      <c r="G18" s="66"/>
      <c r="H18" s="66"/>
      <c r="I18" s="66"/>
      <c r="J18" s="66"/>
      <c r="K18" s="66"/>
      <c r="L18" s="66"/>
      <c r="M18" s="66"/>
      <c r="N18" s="66"/>
      <c r="O18" s="66"/>
      <c r="P18" s="66"/>
      <c r="Q18" s="10"/>
      <c r="R18" s="10"/>
      <c r="S18" s="10"/>
      <c r="T18" s="10"/>
      <c r="U18" s="10"/>
      <c r="V18" s="10"/>
      <c r="W18" s="10"/>
      <c r="X18" s="10"/>
      <c r="Y18" s="10"/>
      <c r="Z18" s="10"/>
      <c r="AA18" s="10"/>
      <c r="AB18" s="10"/>
    </row>
    <row r="19" spans="3:28" ht="15" customHeight="1">
      <c r="C19" s="66"/>
      <c r="D19" s="66"/>
      <c r="E19" s="66"/>
      <c r="F19" s="66"/>
      <c r="G19" s="66"/>
      <c r="H19" s="66"/>
      <c r="I19" s="66"/>
      <c r="J19" s="66"/>
      <c r="K19" s="66"/>
      <c r="L19" s="66"/>
      <c r="M19" s="66"/>
      <c r="N19" s="66"/>
      <c r="O19" s="66"/>
      <c r="P19" s="66"/>
      <c r="Q19" s="10"/>
      <c r="R19" s="10"/>
      <c r="S19" s="10"/>
      <c r="T19" s="10"/>
      <c r="U19" s="10"/>
      <c r="V19" s="10"/>
      <c r="W19" s="10"/>
      <c r="X19" s="10"/>
      <c r="Y19" s="10"/>
      <c r="Z19" s="10"/>
      <c r="AA19" s="10"/>
      <c r="AB19" s="10"/>
    </row>
    <row r="20" spans="3:28" ht="15" customHeight="1">
      <c r="C20" s="66"/>
      <c r="D20" s="66"/>
      <c r="E20" s="66"/>
      <c r="F20" s="66"/>
      <c r="G20" s="66"/>
      <c r="H20" s="66"/>
      <c r="I20" s="66"/>
      <c r="J20" s="66"/>
      <c r="K20" s="66"/>
      <c r="L20" s="66"/>
      <c r="M20" s="66"/>
      <c r="N20" s="66"/>
      <c r="O20" s="66"/>
      <c r="P20" s="66"/>
      <c r="Q20" s="10"/>
      <c r="R20" s="10"/>
      <c r="S20" s="10"/>
      <c r="T20" s="10"/>
      <c r="U20" s="10"/>
      <c r="V20" s="10"/>
      <c r="W20" s="10"/>
      <c r="X20" s="10"/>
      <c r="Y20" s="10"/>
      <c r="Z20" s="10"/>
      <c r="AA20" s="10"/>
      <c r="AB20" s="10"/>
    </row>
    <row r="21" spans="3:28" ht="15" customHeight="1">
      <c r="C21" s="66"/>
      <c r="D21" s="66"/>
      <c r="E21" s="66"/>
      <c r="F21" s="66"/>
      <c r="G21" s="66"/>
      <c r="H21" s="66"/>
      <c r="I21" s="66"/>
      <c r="J21" s="66"/>
      <c r="K21" s="66"/>
      <c r="L21" s="66"/>
      <c r="M21" s="66"/>
      <c r="N21" s="66"/>
      <c r="O21" s="66"/>
      <c r="P21" s="66"/>
      <c r="Q21" s="10"/>
      <c r="R21" s="10"/>
      <c r="S21" s="10"/>
      <c r="T21" s="10"/>
      <c r="U21" s="10"/>
      <c r="V21" s="10"/>
      <c r="W21" s="10"/>
      <c r="X21" s="10"/>
      <c r="Y21" s="10"/>
      <c r="Z21" s="10"/>
      <c r="AA21" s="10"/>
      <c r="AB21" s="10"/>
    </row>
    <row r="22" spans="3:28" ht="15" customHeight="1">
      <c r="C22" s="66"/>
      <c r="D22" s="66"/>
      <c r="E22" s="66"/>
      <c r="F22" s="66"/>
      <c r="G22" s="66"/>
      <c r="H22" s="66"/>
      <c r="I22" s="66"/>
      <c r="J22" s="66"/>
      <c r="K22" s="66"/>
      <c r="L22" s="66"/>
      <c r="M22" s="66"/>
      <c r="N22" s="66"/>
      <c r="O22" s="66"/>
      <c r="P22" s="66"/>
      <c r="Q22" s="10"/>
      <c r="R22" s="10"/>
      <c r="S22" s="10"/>
      <c r="T22" s="10"/>
      <c r="U22" s="10"/>
      <c r="V22" s="10"/>
      <c r="W22" s="10"/>
      <c r="X22" s="10"/>
      <c r="Y22" s="10"/>
      <c r="Z22" s="10"/>
      <c r="AA22" s="10"/>
      <c r="AB22" s="10"/>
    </row>
    <row r="23" spans="3:28" ht="15" customHeight="1">
      <c r="C23" s="66"/>
      <c r="D23" s="66"/>
      <c r="E23" s="66"/>
      <c r="F23" s="66"/>
      <c r="G23" s="66"/>
      <c r="H23" s="66"/>
      <c r="I23" s="66"/>
      <c r="J23" s="66"/>
      <c r="K23" s="66"/>
      <c r="L23" s="66"/>
      <c r="M23" s="66"/>
      <c r="N23" s="66"/>
      <c r="O23" s="66"/>
      <c r="P23" s="66"/>
      <c r="Q23" s="10"/>
      <c r="R23" s="10"/>
      <c r="S23" s="10"/>
      <c r="T23" s="10"/>
      <c r="U23" s="10"/>
      <c r="V23" s="10"/>
      <c r="W23" s="10"/>
      <c r="X23" s="10"/>
      <c r="Y23" s="10"/>
      <c r="Z23" s="10"/>
      <c r="AA23" s="10"/>
      <c r="AB23" s="10"/>
    </row>
    <row r="24" spans="3:28" ht="15" customHeight="1">
      <c r="C24" s="66"/>
      <c r="D24" s="66"/>
      <c r="E24" s="66"/>
      <c r="F24" s="66"/>
      <c r="G24" s="66"/>
      <c r="H24" s="66"/>
      <c r="I24" s="66"/>
      <c r="J24" s="66"/>
      <c r="K24" s="66"/>
      <c r="L24" s="66"/>
      <c r="M24" s="66"/>
      <c r="N24" s="66"/>
      <c r="O24" s="66"/>
      <c r="P24" s="66"/>
      <c r="Q24" s="10"/>
      <c r="R24" s="10"/>
      <c r="S24" s="10"/>
      <c r="T24" s="10"/>
      <c r="U24" s="10"/>
      <c r="V24" s="10"/>
      <c r="W24" s="10"/>
      <c r="X24" s="10"/>
      <c r="Y24" s="10"/>
      <c r="Z24" s="10"/>
      <c r="AA24" s="10"/>
      <c r="AB24" s="10"/>
    </row>
    <row r="25" spans="3:28" ht="15" customHeight="1">
      <c r="C25" s="66"/>
      <c r="D25" s="66"/>
      <c r="E25" s="66"/>
      <c r="F25" s="66"/>
      <c r="G25" s="66"/>
      <c r="H25" s="66"/>
      <c r="I25" s="66"/>
      <c r="J25" s="66"/>
      <c r="K25" s="66"/>
      <c r="L25" s="66"/>
      <c r="M25" s="66"/>
      <c r="N25" s="66"/>
      <c r="O25" s="66"/>
      <c r="P25" s="66"/>
      <c r="Q25" s="10"/>
      <c r="R25" s="10"/>
      <c r="S25" s="10"/>
      <c r="T25" s="10"/>
      <c r="U25" s="10"/>
      <c r="V25" s="10"/>
      <c r="W25" s="10"/>
      <c r="X25" s="10"/>
      <c r="Y25" s="10"/>
      <c r="Z25" s="10"/>
      <c r="AA25" s="10"/>
      <c r="AB25" s="10"/>
    </row>
    <row r="26" spans="3:28" ht="15" customHeight="1">
      <c r="C26" s="66"/>
      <c r="D26" s="66"/>
      <c r="E26" s="66"/>
      <c r="F26" s="66"/>
      <c r="G26" s="66"/>
      <c r="H26" s="66"/>
      <c r="I26" s="66"/>
      <c r="J26" s="66"/>
      <c r="K26" s="66"/>
      <c r="L26" s="66"/>
      <c r="M26" s="66"/>
      <c r="N26" s="66"/>
      <c r="O26" s="66"/>
      <c r="P26" s="66"/>
      <c r="Q26" s="10"/>
      <c r="R26" s="10"/>
      <c r="S26" s="10"/>
      <c r="T26" s="10"/>
      <c r="U26" s="10"/>
      <c r="V26" s="10"/>
      <c r="W26" s="10"/>
      <c r="X26" s="10"/>
      <c r="Y26" s="10"/>
      <c r="Z26" s="10"/>
      <c r="AA26" s="10"/>
      <c r="AB26" s="10"/>
    </row>
    <row r="27" spans="3:28" ht="15" customHeight="1">
      <c r="C27" s="66"/>
      <c r="D27" s="66"/>
      <c r="E27" s="66"/>
      <c r="F27" s="66"/>
      <c r="G27" s="66"/>
      <c r="H27" s="66"/>
      <c r="I27" s="66"/>
      <c r="J27" s="66"/>
      <c r="K27" s="66"/>
      <c r="L27" s="66"/>
      <c r="M27" s="66"/>
      <c r="N27" s="66"/>
      <c r="O27" s="66"/>
      <c r="P27" s="66"/>
      <c r="Q27" s="10"/>
      <c r="R27" s="10"/>
      <c r="S27" s="10"/>
      <c r="T27" s="10"/>
      <c r="U27" s="10"/>
      <c r="V27" s="10"/>
      <c r="W27" s="10"/>
      <c r="X27" s="10"/>
      <c r="Y27" s="10"/>
      <c r="Z27" s="10"/>
      <c r="AA27" s="10"/>
      <c r="AB27" s="10"/>
    </row>
    <row r="28" spans="3:28" ht="15" customHeight="1">
      <c r="C28" s="66"/>
      <c r="D28" s="66"/>
      <c r="E28" s="66"/>
      <c r="F28" s="66"/>
      <c r="G28" s="66"/>
      <c r="H28" s="66"/>
      <c r="I28" s="66"/>
      <c r="J28" s="66"/>
      <c r="K28" s="66"/>
      <c r="L28" s="66"/>
      <c r="M28" s="66"/>
      <c r="N28" s="66"/>
      <c r="O28" s="66"/>
      <c r="P28" s="66"/>
      <c r="Q28" s="10"/>
      <c r="R28" s="10"/>
      <c r="S28" s="10"/>
      <c r="T28" s="10"/>
      <c r="U28" s="10"/>
      <c r="V28" s="10"/>
      <c r="W28" s="10"/>
      <c r="X28" s="10"/>
      <c r="Y28" s="10"/>
      <c r="Z28" s="10"/>
      <c r="AA28" s="10"/>
      <c r="AB28" s="10"/>
    </row>
    <row r="29" spans="3:28" ht="15" customHeight="1">
      <c r="C29" s="66"/>
      <c r="D29" s="66"/>
      <c r="E29" s="66"/>
      <c r="F29" s="66"/>
      <c r="G29" s="66"/>
      <c r="H29" s="66"/>
      <c r="I29" s="66"/>
      <c r="J29" s="66"/>
      <c r="K29" s="66"/>
      <c r="L29" s="66"/>
      <c r="M29" s="66"/>
      <c r="N29" s="66"/>
      <c r="O29" s="66"/>
      <c r="P29" s="66"/>
      <c r="Q29" s="10"/>
      <c r="R29" s="10"/>
      <c r="S29" s="10"/>
      <c r="T29" s="10"/>
      <c r="U29" s="10"/>
      <c r="V29" s="10"/>
      <c r="W29" s="10"/>
      <c r="X29" s="10"/>
      <c r="Y29" s="10"/>
      <c r="Z29" s="10"/>
      <c r="AA29" s="10"/>
      <c r="AB29" s="10"/>
    </row>
    <row r="30" spans="3:28" ht="15" customHeight="1">
      <c r="C30" s="66"/>
      <c r="D30" s="66"/>
      <c r="E30" s="66"/>
      <c r="F30" s="66"/>
      <c r="G30" s="66"/>
      <c r="H30" s="66"/>
      <c r="I30" s="66"/>
      <c r="J30" s="66"/>
      <c r="K30" s="66"/>
      <c r="L30" s="66"/>
      <c r="M30" s="66"/>
      <c r="N30" s="66"/>
      <c r="O30" s="66"/>
      <c r="P30" s="66"/>
      <c r="Q30" s="10"/>
      <c r="R30" s="10"/>
      <c r="S30" s="10"/>
      <c r="T30" s="10"/>
      <c r="U30" s="10"/>
      <c r="V30" s="10"/>
      <c r="W30" s="10"/>
      <c r="X30" s="10"/>
      <c r="Y30" s="10"/>
      <c r="Z30" s="10"/>
      <c r="AA30" s="10"/>
      <c r="AB30" s="10"/>
    </row>
    <row r="31" spans="3:28" ht="15" customHeight="1">
      <c r="C31" s="66"/>
      <c r="D31" s="66"/>
      <c r="E31" s="66"/>
      <c r="F31" s="66"/>
      <c r="G31" s="66"/>
      <c r="H31" s="66"/>
      <c r="I31" s="66"/>
      <c r="J31" s="66"/>
      <c r="K31" s="66"/>
      <c r="L31" s="66"/>
      <c r="M31" s="66"/>
      <c r="N31" s="66"/>
      <c r="O31" s="66"/>
      <c r="P31" s="66"/>
      <c r="Q31" s="10"/>
      <c r="R31" s="10"/>
      <c r="S31" s="10"/>
      <c r="T31" s="10"/>
      <c r="U31" s="10"/>
      <c r="V31" s="10"/>
      <c r="W31" s="10"/>
      <c r="X31" s="10"/>
      <c r="Y31" s="10"/>
      <c r="Z31" s="10"/>
      <c r="AA31" s="10"/>
      <c r="AB31" s="10"/>
    </row>
    <row r="32" spans="3:28" ht="15" customHeight="1">
      <c r="C32" s="66"/>
      <c r="D32" s="66"/>
      <c r="E32" s="66"/>
      <c r="F32" s="66"/>
      <c r="G32" s="66"/>
      <c r="H32" s="66"/>
      <c r="I32" s="66"/>
      <c r="J32" s="66"/>
      <c r="K32" s="66"/>
      <c r="L32" s="66"/>
      <c r="M32" s="66"/>
      <c r="N32" s="66"/>
      <c r="O32" s="66"/>
      <c r="P32" s="66"/>
      <c r="Q32" s="10"/>
      <c r="R32" s="10"/>
      <c r="S32" s="10"/>
      <c r="T32" s="10"/>
      <c r="U32" s="10"/>
      <c r="V32" s="10"/>
      <c r="W32" s="10"/>
      <c r="X32" s="10"/>
      <c r="Y32" s="10"/>
      <c r="Z32" s="10"/>
      <c r="AA32" s="10"/>
      <c r="AB32" s="10"/>
    </row>
    <row r="33" spans="3:28" ht="15" customHeight="1">
      <c r="C33" s="66"/>
      <c r="D33" s="66"/>
      <c r="E33" s="66"/>
      <c r="F33" s="66"/>
      <c r="G33" s="66"/>
      <c r="H33" s="66"/>
      <c r="I33" s="66"/>
      <c r="J33" s="66"/>
      <c r="K33" s="66"/>
      <c r="L33" s="66"/>
      <c r="M33" s="66"/>
      <c r="N33" s="66"/>
      <c r="O33" s="66"/>
      <c r="P33" s="66"/>
      <c r="Q33" s="10"/>
      <c r="R33" s="10"/>
      <c r="S33" s="10"/>
      <c r="T33" s="10"/>
      <c r="U33" s="10"/>
      <c r="V33" s="10"/>
      <c r="W33" s="10"/>
      <c r="X33" s="10"/>
      <c r="Y33" s="10"/>
      <c r="Z33" s="10"/>
      <c r="AA33" s="10"/>
      <c r="AB33" s="10"/>
    </row>
    <row r="34" spans="3:28" ht="15" customHeight="1">
      <c r="C34" s="66"/>
      <c r="D34" s="66"/>
      <c r="E34" s="66"/>
      <c r="F34" s="66"/>
      <c r="G34" s="66"/>
      <c r="H34" s="66"/>
      <c r="I34" s="66"/>
      <c r="J34" s="66"/>
      <c r="K34" s="66"/>
      <c r="L34" s="66"/>
      <c r="M34" s="66"/>
      <c r="N34" s="66"/>
      <c r="O34" s="66"/>
      <c r="P34" s="66"/>
      <c r="Q34" s="10"/>
      <c r="R34" s="10"/>
      <c r="S34" s="10"/>
      <c r="T34" s="10"/>
      <c r="U34" s="10"/>
      <c r="V34" s="10"/>
      <c r="W34" s="10"/>
      <c r="X34" s="10"/>
      <c r="Y34" s="10"/>
      <c r="Z34" s="10"/>
      <c r="AA34" s="10"/>
      <c r="AB34" s="10"/>
    </row>
    <row r="35" spans="3:28" ht="15" customHeight="1">
      <c r="C35" s="66"/>
      <c r="D35" s="66"/>
      <c r="E35" s="66"/>
      <c r="F35" s="66"/>
      <c r="G35" s="66"/>
      <c r="H35" s="66"/>
      <c r="I35" s="66"/>
      <c r="J35" s="66"/>
      <c r="K35" s="66"/>
      <c r="L35" s="66"/>
      <c r="M35" s="66"/>
      <c r="N35" s="66"/>
      <c r="O35" s="66"/>
      <c r="P35" s="66"/>
      <c r="Q35" s="10"/>
      <c r="R35" s="10"/>
      <c r="S35" s="10"/>
      <c r="T35" s="10"/>
      <c r="U35" s="10"/>
      <c r="V35" s="10"/>
      <c r="W35" s="10"/>
      <c r="X35" s="10"/>
      <c r="Y35" s="10"/>
      <c r="Z35" s="10"/>
      <c r="AA35" s="10"/>
      <c r="AB35" s="10"/>
    </row>
    <row r="36" spans="3:28" ht="15" customHeight="1">
      <c r="C36" s="66"/>
      <c r="D36" s="66"/>
      <c r="E36" s="66"/>
      <c r="F36" s="66"/>
      <c r="G36" s="66"/>
      <c r="H36" s="66"/>
      <c r="I36" s="66"/>
      <c r="J36" s="66"/>
      <c r="K36" s="66"/>
      <c r="L36" s="66"/>
      <c r="M36" s="66"/>
      <c r="N36" s="66"/>
      <c r="O36" s="66"/>
      <c r="P36" s="66"/>
      <c r="Q36" s="10"/>
      <c r="R36" s="10"/>
      <c r="S36" s="10"/>
      <c r="T36" s="10"/>
      <c r="U36" s="10"/>
      <c r="V36" s="10"/>
      <c r="W36" s="10"/>
      <c r="X36" s="10"/>
      <c r="Y36" s="10"/>
      <c r="Z36" s="10"/>
      <c r="AA36" s="10"/>
      <c r="AB36" s="10"/>
    </row>
    <row r="37" spans="3:28" ht="15" customHeight="1">
      <c r="C37" s="66"/>
      <c r="D37" s="66"/>
      <c r="E37" s="66"/>
      <c r="F37" s="66"/>
      <c r="G37" s="66"/>
      <c r="H37" s="66"/>
      <c r="I37" s="66"/>
      <c r="J37" s="66"/>
      <c r="K37" s="66"/>
      <c r="L37" s="66"/>
      <c r="M37" s="66"/>
      <c r="N37" s="66"/>
      <c r="O37" s="66"/>
      <c r="P37" s="66"/>
      <c r="Q37" s="10"/>
      <c r="R37" s="10"/>
      <c r="S37" s="10"/>
      <c r="T37" s="10"/>
      <c r="U37" s="10"/>
      <c r="V37" s="10"/>
      <c r="W37" s="10"/>
      <c r="X37" s="10"/>
      <c r="Y37" s="10"/>
      <c r="Z37" s="10"/>
      <c r="AA37" s="10"/>
      <c r="AB37" s="10"/>
    </row>
    <row r="38" spans="3:28" ht="15" customHeight="1">
      <c r="C38" s="66"/>
      <c r="D38" s="66"/>
      <c r="E38" s="66"/>
      <c r="F38" s="66"/>
      <c r="G38" s="66"/>
      <c r="H38" s="66"/>
      <c r="I38" s="66"/>
      <c r="J38" s="66"/>
      <c r="K38" s="66"/>
      <c r="L38" s="66"/>
      <c r="M38" s="66"/>
      <c r="N38" s="66"/>
      <c r="O38" s="66"/>
      <c r="P38" s="66"/>
      <c r="Q38" s="10"/>
      <c r="R38" s="10"/>
      <c r="S38" s="10"/>
      <c r="T38" s="10"/>
      <c r="U38" s="10"/>
      <c r="V38" s="10"/>
      <c r="W38" s="10"/>
      <c r="X38" s="10"/>
      <c r="Y38" s="10"/>
      <c r="Z38" s="10"/>
      <c r="AA38" s="10"/>
      <c r="AB38" s="10"/>
    </row>
    <row r="39" spans="3:28" ht="15" customHeight="1">
      <c r="C39" s="66"/>
      <c r="D39" s="66"/>
      <c r="E39" s="66"/>
      <c r="F39" s="66"/>
      <c r="G39" s="66"/>
      <c r="H39" s="66"/>
      <c r="I39" s="66"/>
      <c r="J39" s="66"/>
      <c r="K39" s="66"/>
      <c r="L39" s="66"/>
      <c r="M39" s="66"/>
      <c r="N39" s="66"/>
      <c r="O39" s="66"/>
      <c r="P39" s="66"/>
      <c r="Q39" s="10"/>
      <c r="R39" s="10"/>
      <c r="S39" s="10"/>
      <c r="T39" s="10"/>
      <c r="U39" s="10"/>
      <c r="V39" s="10"/>
      <c r="W39" s="10"/>
      <c r="X39" s="10"/>
      <c r="Y39" s="10"/>
      <c r="Z39" s="10"/>
      <c r="AA39" s="10"/>
      <c r="AB39" s="10"/>
    </row>
    <row r="40" spans="3:28" ht="15" customHeight="1">
      <c r="C40" s="66"/>
      <c r="D40" s="66"/>
      <c r="E40" s="66"/>
      <c r="F40" s="66"/>
      <c r="G40" s="66"/>
      <c r="H40" s="66"/>
      <c r="I40" s="66"/>
      <c r="J40" s="66"/>
      <c r="K40" s="66"/>
      <c r="L40" s="66"/>
      <c r="M40" s="66"/>
      <c r="N40" s="66"/>
      <c r="O40" s="66"/>
      <c r="P40" s="66"/>
      <c r="Q40" s="10"/>
      <c r="R40" s="10"/>
      <c r="S40" s="10"/>
      <c r="T40" s="10"/>
      <c r="U40" s="10"/>
      <c r="V40" s="10"/>
      <c r="W40" s="10"/>
      <c r="X40" s="10"/>
      <c r="Y40" s="10"/>
      <c r="Z40" s="10"/>
      <c r="AA40" s="10"/>
      <c r="AB40" s="10"/>
    </row>
    <row r="41" spans="3:28" ht="15" customHeight="1">
      <c r="C41" s="66"/>
      <c r="D41" s="66"/>
      <c r="E41" s="66"/>
      <c r="F41" s="66"/>
      <c r="G41" s="66"/>
      <c r="H41" s="66"/>
      <c r="I41" s="66"/>
      <c r="J41" s="66"/>
      <c r="K41" s="66"/>
      <c r="L41" s="66"/>
      <c r="M41" s="66"/>
      <c r="N41" s="66"/>
      <c r="O41" s="66"/>
      <c r="P41" s="66"/>
      <c r="Q41" s="10"/>
      <c r="R41" s="10"/>
      <c r="S41" s="10"/>
      <c r="T41" s="10"/>
      <c r="U41" s="10"/>
      <c r="V41" s="10"/>
      <c r="W41" s="10"/>
      <c r="X41" s="10"/>
      <c r="Y41" s="10"/>
      <c r="Z41" s="10"/>
      <c r="AA41" s="10"/>
      <c r="AB41" s="10"/>
    </row>
    <row r="42" spans="3:28" ht="15" customHeight="1">
      <c r="C42" s="66"/>
      <c r="D42" s="66"/>
      <c r="E42" s="66"/>
      <c r="F42" s="66"/>
      <c r="G42" s="66"/>
      <c r="H42" s="66"/>
      <c r="I42" s="66"/>
      <c r="J42" s="66"/>
      <c r="K42" s="66"/>
      <c r="L42" s="66"/>
      <c r="M42" s="66"/>
      <c r="N42" s="66"/>
      <c r="O42" s="66"/>
      <c r="P42" s="66"/>
      <c r="Q42" s="10"/>
      <c r="R42" s="10"/>
      <c r="S42" s="10"/>
      <c r="T42" s="10"/>
      <c r="U42" s="10"/>
      <c r="V42" s="10"/>
      <c r="W42" s="10"/>
      <c r="X42" s="10"/>
      <c r="Y42" s="10"/>
      <c r="Z42" s="10"/>
      <c r="AA42" s="10"/>
      <c r="AB42" s="10"/>
    </row>
    <row r="43" spans="3:28" ht="15" customHeight="1">
      <c r="C43" s="66"/>
      <c r="D43" s="66"/>
      <c r="E43" s="66"/>
      <c r="F43" s="66"/>
      <c r="G43" s="66"/>
      <c r="H43" s="66"/>
      <c r="I43" s="66"/>
      <c r="J43" s="66"/>
      <c r="K43" s="66"/>
      <c r="L43" s="66"/>
      <c r="M43" s="66"/>
      <c r="N43" s="66"/>
      <c r="O43" s="66"/>
      <c r="P43" s="66"/>
      <c r="Q43" s="10"/>
      <c r="R43" s="10"/>
      <c r="S43" s="10"/>
      <c r="T43" s="10"/>
      <c r="U43" s="10"/>
      <c r="V43" s="10"/>
      <c r="W43" s="10"/>
      <c r="X43" s="10"/>
      <c r="Y43" s="10"/>
      <c r="Z43" s="10"/>
      <c r="AA43" s="10"/>
      <c r="AB43" s="10"/>
    </row>
    <row r="44" spans="3:28" ht="15.75" customHeight="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3:28" ht="15.75" customHeight="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3:28" ht="15.75" customHeight="1">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3:28" ht="15.75" customHeight="1">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3:28" ht="15.75" customHeight="1">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3:28" ht="15.75" customHeight="1">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3:28" ht="15.75" customHeight="1">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3:28" ht="15.75" customHeight="1">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3:28" ht="15.75" customHeight="1">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3:28" ht="15.75" customHeight="1">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3:28" ht="15.75" customHeight="1">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3:28" ht="15.75" customHeight="1">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3:28" ht="15.75" customHeight="1">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3:28" ht="15.75" customHeight="1">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3:28" ht="15.75" customHeight="1">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3:28" ht="15.75" customHeight="1">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3:28" ht="15.75" customHeight="1">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3:28" ht="15.75" customHeight="1">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3:28" ht="15.75" customHeight="1">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3:28" ht="15.75" customHeight="1">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3:28" ht="15.75" customHeight="1">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3:28" ht="15.75" customHeight="1">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3:28" ht="15.75" customHeight="1">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3:28" ht="15.75" customHeight="1">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3:28" ht="15.75" customHeight="1">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3:28" ht="15.75" customHeight="1">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3:28" ht="15.75" customHeight="1">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3:28" ht="15.75" customHeight="1">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3:28" ht="15.75" customHeight="1">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3:28" ht="15.75" customHeight="1">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3:28" ht="15.75" customHeight="1">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3:28" ht="15.75" customHeight="1">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3:28" ht="15.75" customHeight="1">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3:28" ht="15.75" customHeight="1">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3:28" ht="15.75" customHeight="1">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3:28" ht="15.75" customHeight="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3:28" ht="15.75" customHeight="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3:28" ht="15.75" customHeight="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3:28" ht="15.75" customHeight="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3:28" ht="15.75" customHeight="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3:28" ht="15.75" customHeight="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3:28" ht="15.75" customHeight="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3:28" ht="15.75" customHeight="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3:28" ht="15.75" customHeight="1">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3:28" ht="15.75" customHeight="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3:28" ht="15.75" customHeight="1">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3:28" ht="15.75" customHeight="1">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3:28" ht="15.75" customHeight="1">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3:28" ht="15.75" customHeight="1">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3:28" ht="15.75" customHeight="1">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3:28" ht="15.75" customHeight="1">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3:28" ht="15.75" customHeight="1">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3:28" ht="15.75" customHeight="1">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3:28" ht="15.75" customHeight="1">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3:28" ht="15.75" customHeight="1">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3:28" ht="15.75" customHeight="1">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3:28" ht="15.75" customHeight="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3:28" ht="15.75" customHeight="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3:28" ht="15.75" customHeight="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3:28" ht="15.75" customHeight="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3:28" ht="15.75" customHeight="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3:28" ht="15.75" customHeight="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3:28" ht="15.75" customHeight="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3:28" ht="15.75" customHeight="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3:28" ht="15.75" customHeight="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3:28" ht="15.75" customHeight="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3:28" ht="15.75" customHeight="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3:28" ht="15.75" customHeight="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3:28" ht="15.75" customHeight="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3:28" ht="15.75" customHeight="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3:28" ht="15.75" customHeight="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3:28" ht="15.75" customHeight="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3:28" ht="15.75" customHeight="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3:28" ht="15.75" customHeight="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3:28" ht="15.75" customHeight="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3:28" ht="15.75" customHeight="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3:28" ht="15.75" customHeight="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3:28" ht="15.75" customHeight="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3:28" ht="15.75" customHeight="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3:28" ht="15.75" customHeight="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3:28" ht="15.75" customHeight="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3:28" ht="15.75" customHeight="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3:28" ht="15.75" customHeight="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3:28" ht="15.75" customHeight="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3:28" ht="15.75" customHeight="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3:28" ht="15.75" customHeight="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3:28" ht="15.75" customHeight="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3:28" ht="15.75" customHeight="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3:28" ht="15.75" customHeight="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3:28" ht="15.75" customHeight="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3:28" ht="15.75" customHeight="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3:28" ht="15.75" customHeight="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3:28" ht="15.75" customHeight="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3:28" ht="15.75" customHeight="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3:28" ht="15.75" customHeight="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3:28" ht="15.75" customHeight="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3:28" ht="15.75" customHeight="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3:28" ht="15.75" customHeight="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3:28" ht="15.75" customHeight="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3:28" ht="15.75" customHeight="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3:28" ht="15.75" customHeight="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3:28" ht="15.75" customHeight="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3:28" ht="15.75" customHeight="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3:28" ht="15.75" customHeight="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3:28" ht="15.75" customHeight="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3:28" ht="15.75" customHeight="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3:28" ht="15.75" customHeight="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3:28" ht="15.75" customHeight="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3:28" ht="15.75" customHeight="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3:28" ht="15.75" customHeight="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3:28" ht="15.75" customHeight="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3:28" ht="15.75" customHeight="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3:28" ht="15.75" customHeight="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3:28" ht="15.75" customHeight="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3:28" ht="15.75" customHeight="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3:28" ht="15.75" customHeight="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3:28" ht="15.75" customHeight="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3:28" ht="15.75" customHeight="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3:28" ht="15.75" customHeight="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3:28" ht="15.75" customHeight="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3:28" ht="15.75" customHeight="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3:28" ht="15.75" customHeight="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3:28" ht="15.75" customHeight="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3:28" ht="15.75" customHeight="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3:28" ht="15.75" customHeight="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3:28" ht="15.75" customHeight="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3:28" ht="15.75" customHeight="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3:28" ht="15.75" customHeight="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3:28" ht="15.75" customHeight="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3:28" ht="15.75" customHeight="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3:28" ht="15.75" customHeight="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3:28" ht="15.75" customHeight="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3:28" ht="15.75" customHeight="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3:28" ht="15.75" customHeight="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3:28" ht="15.75" customHeight="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3:28" ht="15.75" customHeight="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3:28" ht="15.75" customHeight="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3:28" ht="15.75" customHeight="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3:28" ht="15.75" customHeight="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3:28" ht="15.75" customHeight="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3:28" ht="15.75" customHeight="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3:28" ht="15.75" customHeight="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3:28" ht="15.75" customHeight="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3:28" ht="15.75" customHeight="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3:28" ht="15.75" customHeight="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3:28" ht="15.75" customHeight="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3:28" ht="15.75" customHeight="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3:28" ht="15.75" customHeight="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3:28" ht="15.75" customHeight="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3:28" ht="15.75" customHeight="1">
      <c r="C193" s="10"/>
      <c r="D193" s="10"/>
      <c r="E193" s="10"/>
      <c r="F193" s="10"/>
      <c r="G193" s="10"/>
      <c r="H193" s="10"/>
      <c r="I193" s="10"/>
      <c r="J193" s="10"/>
      <c r="K193" s="10"/>
      <c r="L193" s="10"/>
      <c r="M193" s="10"/>
      <c r="N193" s="10"/>
      <c r="O193" s="10"/>
      <c r="P193" s="10"/>
      <c r="Q193" s="10"/>
      <c r="R193" s="10"/>
      <c r="S193" s="10">
        <v>1</v>
      </c>
      <c r="T193" s="10"/>
      <c r="U193" s="10"/>
      <c r="V193" s="10"/>
      <c r="W193" s="10"/>
      <c r="X193" s="10"/>
      <c r="Y193" s="10"/>
      <c r="Z193" s="10"/>
      <c r="AA193" s="10"/>
      <c r="AB193" s="10"/>
    </row>
    <row r="194" spans="3:28" ht="15.75" customHeight="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3:28" ht="15.75" customHeight="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3:28" ht="15.75" customHeight="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3:28" ht="15.75" customHeight="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3:28" ht="15.75" customHeight="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3:28" ht="15.75" customHeight="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3:28" ht="15.75" customHeight="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3:28" ht="15.75" customHeight="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3:28" ht="15.75" customHeight="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3:28" ht="15.75" customHeight="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3:28" ht="15.75" customHeight="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3:28" ht="15.75" customHeight="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3:28" ht="15.75" customHeight="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3:28" ht="15.75" customHeight="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3:28" ht="15.75" customHeight="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3:28" ht="15.75" customHeight="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3:28" ht="15.75" customHeight="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3:28" ht="15.75" customHeight="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3:28" ht="15.75" customHeight="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3:28" ht="15.75" customHeight="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3:28" ht="15.75" customHeight="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3:28" ht="15.75" customHeight="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3:28" ht="15.75" customHeight="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3:28" ht="15.75" customHeight="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3:28" ht="15.75" customHeight="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3:28" ht="15.75" customHeight="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3:28" ht="15.75" customHeight="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3:28" ht="15.75" customHeight="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3:28" ht="15.75" customHeight="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3:28" ht="15.75" customHeight="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3:28" ht="15.75" customHeight="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3:28" ht="15.75" customHeight="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3:28" ht="15.75" customHeight="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3:28" ht="15.75" customHeight="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3:28" ht="15.75" customHeight="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3:28" ht="15.75" customHeight="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3:28" ht="15.75" customHeight="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3:28" ht="15.75" customHeight="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3:28" ht="15.75" customHeight="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3:28" ht="15.75" customHeight="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3:28" ht="15.75" customHeight="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3:28" ht="15.75" customHeight="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3:28" ht="15.75" customHeight="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3:28" ht="15.75" customHeight="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3:28" ht="15.75" customHeight="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3:28" ht="15.75" customHeight="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3:28" ht="15.75" customHeight="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3:28" ht="15.75" customHeight="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3:28" ht="15.75" customHeight="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3:28" ht="15.75" customHeight="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3:28" ht="15.75" customHeight="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3:28" ht="15.75" customHeight="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3:28" ht="15.75" customHeight="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3:28" ht="15.75" customHeight="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3:28" ht="15.75" customHeight="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3:28" ht="15.75" customHeight="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3:28" ht="15.75" customHeight="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3:28" ht="15.75" customHeight="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3:28" ht="15.75" customHeight="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3:28" ht="15.75" customHeight="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3:28" ht="15.75" customHeight="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3:28" ht="15.75" customHeight="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3:28" ht="15.75" customHeight="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3:28" ht="15.75" customHeight="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3:28" ht="15.75" customHeight="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3:28" ht="15.75" customHeight="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3:28" ht="15.75" customHeight="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3:28" ht="15.75" customHeight="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3:28" ht="15.75" customHeight="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3:28" ht="15.75" customHeight="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3:28" ht="15.75" customHeight="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3:28" ht="15.75" customHeight="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3:28" ht="15.75" customHeight="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3:28" ht="15.75" customHeight="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3:28" ht="15.75" customHeight="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3:28" ht="15.75" customHeight="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3:28" ht="15.75" customHeight="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3:28" ht="15.75" customHeight="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3:28" ht="15.75" customHeight="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3:28" ht="15.75" customHeight="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3:28" ht="15.75" customHeight="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3:28" ht="15.75" customHeight="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3:28" ht="15.75" customHeight="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3:28" ht="15.75" customHeight="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3:28" ht="15.75" customHeight="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3:28" ht="15.75" customHeight="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3:28" ht="15.75" customHeight="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3:28" ht="15.75" customHeight="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3:28" ht="15.75" customHeight="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3:28" ht="15.75" customHeight="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3:28" ht="15.75" customHeight="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3:28" ht="15.75" customHeight="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3:28" ht="15.75" customHeight="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3:28" ht="15.75" customHeight="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3:28" ht="15.75" customHeight="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3:28" ht="15.75" customHeight="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3:28" ht="15.75" customHeight="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3:28" ht="15.75" customHeight="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3:28" ht="15.75" customHeight="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3:28" ht="15.75" customHeight="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3:28" ht="15.75" customHeight="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3:28" ht="15.75" customHeight="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3:28" ht="15.75" customHeight="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3:28" ht="15.75" customHeight="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3:28" ht="15.75" customHeight="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3:28" ht="15.75" customHeight="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3:28" ht="15.75" customHeight="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3:28" ht="15.75" customHeight="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3:28" ht="15.75" customHeight="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3:28" ht="15.75" customHeight="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3:28" ht="15.75" customHeight="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3:28" ht="15.75" customHeight="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3:28" ht="15.75" customHeight="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3:28" ht="15.75" customHeight="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3:28" ht="15.75" customHeight="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3:28" ht="15.75" customHeight="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3:28" ht="15.75" customHeight="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3:28" ht="15.75" customHeight="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3:28" ht="15.75" customHeight="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3:28" ht="15.75" customHeight="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3:28" ht="15.75" customHeight="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3:28" ht="15.75" customHeight="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3:28" ht="15.75" customHeight="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3:28" ht="15.75" customHeight="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3:28" ht="15.75" customHeight="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3:28" ht="15.75" customHeight="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3:28" ht="15.75" customHeight="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3:28" ht="15.75" customHeight="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3:28" ht="15.75" customHeight="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3:28" ht="15.75" customHeight="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3:28" ht="15.75" customHeight="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3:28" ht="15.75" customHeight="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3:28" ht="15.75" customHeight="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3:28" ht="15.75" customHeight="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3:28" ht="15.75" customHeight="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3:28" ht="15.75" customHeight="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3:28" ht="15.75" customHeight="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3:28" ht="15.75" customHeight="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3:28" ht="15.75" customHeight="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3:28" ht="15.75" customHeight="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3:28" ht="15.75" customHeight="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3:28" ht="15.75" customHeight="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3:28" ht="15.75" customHeight="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3:28" ht="15.75" customHeight="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3:28" ht="15.75" customHeight="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3:28" ht="15.75" customHeight="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3:28" ht="15.75" customHeight="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3:28" ht="15.75" customHeight="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3:28" ht="15.75" customHeight="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3:28" ht="15.75" customHeight="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3:28" ht="15.75" customHeight="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3:28" ht="15.75" customHeight="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3:28" ht="15.75" customHeight="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3:28" ht="15.75" customHeight="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3:28" ht="15.75" customHeight="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3:28" ht="15.75" customHeight="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3:28" ht="15.75" customHeight="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3:28" ht="15.75" customHeight="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3:28" ht="15.75" customHeight="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3:28" ht="15.75" customHeight="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3:28" ht="15.75" customHeight="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3:28" ht="15.75" customHeight="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3:28" ht="15.75" customHeight="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3:28" ht="15.75" customHeight="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3:28" ht="15.75" customHeight="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3:28" ht="15.75" customHeight="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3:28" ht="15.75" customHeight="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3:28" ht="15.75" customHeight="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3:28" ht="15.75" customHeight="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3:28" ht="15.75" customHeight="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3:28" ht="15.75" customHeight="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3:28" ht="15.75" customHeight="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3:28" ht="15.75" customHeight="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3:28" ht="15.75" customHeight="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3:28" ht="15.75" customHeight="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3:28" ht="15.75" customHeight="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3:28" ht="15.75" customHeight="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3:28" ht="15.75" customHeight="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3:28" ht="15.75" customHeight="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3:28" ht="15.75" customHeight="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3:28" ht="15.75" customHeight="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3:28" ht="15.75" customHeight="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3:28" ht="15.75" customHeight="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3:28" ht="15.75" customHeight="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3:28" ht="15.75" customHeight="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3:28" ht="15.75" customHeight="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3:28" ht="15.75" customHeight="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3:28" ht="15.75" customHeight="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3:28" ht="15.75" customHeight="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3:28" ht="15.75" customHeight="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3:28" ht="15.75" customHeight="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3:28" ht="15.75" customHeight="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3:28" ht="15.75" customHeight="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3:28" ht="15.75" customHeight="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3:28" ht="15.75" customHeight="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3:28" ht="15.75" customHeight="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3:28" ht="15.75" customHeight="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3:28" ht="15.75" customHeight="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3:28" ht="15.75" customHeight="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3:28" ht="15.75" customHeight="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3:28" ht="15.75" customHeight="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3:28" ht="15.75" customHeight="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3:28" ht="15.75" customHeight="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3:28" ht="15.75" customHeight="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3:28" ht="15.75" customHeight="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3:28" ht="15.75" customHeight="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3:28" ht="15.75" customHeight="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3:28" ht="15.75" customHeight="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3:28" ht="15.75" customHeight="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3:28" ht="15.75" customHeight="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3:28" ht="15.75" customHeight="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3:28" ht="15.75" customHeight="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3:28" ht="15.75" customHeight="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3:28" ht="15.75" customHeight="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3:28" ht="15.75" customHeight="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3:28" ht="15.75" customHeight="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3:28" ht="15.75" customHeight="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3:28" ht="15.75" customHeight="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3:28" ht="15.75" customHeight="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3:28" ht="15.75" customHeight="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3:28" ht="15.75" customHeight="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3:28" ht="15.75" customHeight="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3:28" ht="15.75" customHeight="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3:28" ht="15.75" customHeight="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3:28" ht="15.75" customHeight="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3:28" ht="15.75" customHeight="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3:28" ht="15.75" customHeight="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3:28" ht="15.75" customHeight="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3:28" ht="15.75" customHeight="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3:28" ht="15.75" customHeight="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3:28" ht="15.75" customHeight="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3:28" ht="15.75" customHeight="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3:28" ht="15.75" customHeight="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3:28" ht="15.75" customHeight="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3:28" ht="15.75" customHeight="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3:28" ht="15.75" customHeight="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3:28" ht="15.75" customHeight="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3:28" ht="15.75" customHeight="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3:28" ht="15.75" customHeight="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3:28" ht="15.75" customHeight="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3:28" ht="15.75" customHeight="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3:28" ht="15.75" customHeight="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3:28" ht="15.75" customHeight="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3:28" ht="15.75" customHeight="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3:28" ht="15.75" customHeight="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3:28" ht="15.75" customHeight="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3:28" ht="15.75" customHeight="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3:28" ht="15.75" customHeight="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3:28" ht="15.75" customHeight="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3:28" ht="15.75" customHeight="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3:28" ht="15.75" customHeight="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3:28" ht="15.75" customHeight="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3:28" ht="15.75" customHeight="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3:28" ht="15.75" customHeight="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3:28" ht="15.75" customHeight="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3:28" ht="15.75" customHeight="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3:28" ht="15.75" customHeight="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3:28" ht="15.75" customHeight="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3:28" ht="15.75" customHeight="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3:28" ht="15.75" customHeight="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3:28" ht="15.75" customHeight="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3:28" ht="15.75" customHeight="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3:28" ht="15.75" customHeight="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3:28" ht="15.75" customHeight="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3:28" ht="15.75" customHeight="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3:28" ht="15.75" customHeight="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3:28" ht="15.75" customHeight="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3:28" ht="15.75" customHeight="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3:28" ht="15.75" customHeight="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3:28" ht="15.75" customHeight="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3:28" ht="15.75" customHeight="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3:28" ht="15.75" customHeight="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3:28" ht="15.75" customHeight="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3:28" ht="15.75" customHeight="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3:28" ht="15.75" customHeight="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3:28" ht="15.75" customHeight="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3:28" ht="15.75" customHeight="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3:28" ht="15.75" customHeight="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3:28" ht="15.75" customHeight="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3:28" ht="15.75" customHeight="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3:28" ht="15.75" customHeight="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3:28" ht="15.75" customHeight="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3:28" ht="15.75" customHeight="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3:28" ht="15.75" customHeight="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3:28" ht="15.75" customHeight="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3:28" ht="15.75" customHeight="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3:28" ht="15.75" customHeight="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3:28" ht="15.75" customHeight="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3:28" ht="15.75" customHeight="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3:28" ht="15.75" customHeight="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3:28" ht="15.75" customHeight="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3:28" ht="15.75" customHeight="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3:28" ht="15.75" customHeight="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3:28" ht="15.75" customHeight="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3:28" ht="15.75" customHeight="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3:28" ht="15.75" customHeight="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3:28" ht="15.75" customHeight="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3:28" ht="15.75" customHeight="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3:28" ht="15.75" customHeight="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3:28" ht="15.75" customHeight="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3:28" ht="15.75" customHeight="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3:28" ht="15.75" customHeight="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3:28" ht="15.75" customHeight="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3:28" ht="15.75" customHeight="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3:28" ht="15.75" customHeight="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3:28" ht="15.75" customHeight="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3:28" ht="15.75" customHeight="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3:28" ht="15.75" customHeight="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3:28" ht="15.75" customHeight="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3:28" ht="15.75" customHeight="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3:28" ht="15.75" customHeight="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3:28" ht="15.75" customHeight="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3:28" ht="15.75" customHeight="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3:28" ht="15.75" customHeight="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3:28" ht="15.75" customHeight="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3:28" ht="15.75" customHeight="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3:28" ht="15.75" customHeight="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3:28" ht="15.75" customHeight="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3:28" ht="15.75" customHeight="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3:28" ht="15.75" customHeight="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3:28" ht="15.75" customHeight="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3:28" ht="15.75" customHeight="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3:28" ht="15.75" customHeight="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3:28" ht="15.75" customHeight="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3:28" ht="15.75" customHeight="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3:28" ht="15.75" customHeight="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3:28" ht="15.75" customHeight="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3:28" ht="15.75" customHeight="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3:28" ht="15.75" customHeight="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3:28" ht="15.75" customHeight="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3:28" ht="15.75" customHeight="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3:28" ht="15.75" customHeight="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3:28" ht="15.75" customHeight="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3:28" ht="15.75" customHeight="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3:28" ht="15.75" customHeight="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3:28" ht="15.75" customHeight="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3:28" ht="15.75" customHeight="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3:28" ht="15.75" customHeight="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3:28" ht="15.75" customHeight="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3:28" ht="15.75" customHeight="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3:28" ht="15.75" customHeight="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3:28" ht="15.75" customHeight="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3:28" ht="15.75" customHeight="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3:28" ht="15.75" customHeight="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3:28" ht="15.75" customHeight="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3:28" ht="15.75" customHeight="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3:28" ht="15.75" customHeight="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3:28" ht="15.75" customHeight="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3:28" ht="15.75" customHeight="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3:28" ht="15.75" customHeight="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3:28" ht="15.75" customHeight="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3:28" ht="15.75" customHeight="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3:28" ht="15.75" customHeight="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3:28" ht="15.75" customHeight="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3:28" ht="15.75" customHeight="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3:28" ht="15.75" customHeight="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3:28" ht="15.75" customHeight="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3:28" ht="15.75" customHeight="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3:28" ht="15.75" customHeight="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3:28" ht="15.75" customHeight="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3:28" ht="15.75" customHeight="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3:28" ht="15.75" customHeight="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3:28" ht="15.75" customHeight="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3:28" ht="15.75" customHeight="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3:28" ht="15.75" customHeight="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3:28" ht="15.75" customHeight="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3:28" ht="15.75" customHeight="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3:28" ht="15.75" customHeight="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3:28" ht="15.75" customHeight="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3:28" ht="15.75" customHeight="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3:28" ht="15.75" customHeight="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3:28" ht="15.75" customHeight="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3:28" ht="15.75" customHeight="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3:28" ht="15.75" customHeight="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3:28" ht="15.75" customHeight="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3:28" ht="15.75" customHeight="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3:28" ht="15.75" customHeight="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3:28" ht="15.75" customHeight="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3:28" ht="15.75" customHeight="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3:28" ht="15.75" customHeight="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3:28" ht="15.75" customHeight="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3:28" ht="15.75" customHeight="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3:28" ht="15.75" customHeight="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3:28" ht="15.75" customHeight="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3:28" ht="15.75" customHeight="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3:28" ht="15.75" customHeight="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3:28" ht="15.75" customHeight="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3:28" ht="15.75" customHeight="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3:28" ht="15.75" customHeight="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3:28" ht="15.75" customHeight="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3:28" ht="15.75" customHeight="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3:28" ht="15.75" customHeight="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3:28" ht="15.75" customHeight="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3:28" ht="15.75" customHeight="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3:28" ht="15.75" customHeight="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3:28" ht="15.75" customHeight="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3:28" ht="15.75" customHeight="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3:28" ht="15.75" customHeight="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3:28" ht="15.75" customHeight="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3:28" ht="15.75" customHeight="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3:28" ht="15.75" customHeight="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3:28" ht="15.75" customHeight="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3:28" ht="15.75" customHeight="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3:28" ht="15.75" customHeight="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3:28" ht="15.75" customHeight="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3:28" ht="15.75" customHeight="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3:28" ht="15.75" customHeight="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3:28" ht="15.75" customHeight="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3:28" ht="15.75" customHeight="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3:28" ht="15.75" customHeight="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3:28" ht="15.75" customHeight="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3:28" ht="15.75" customHeight="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3:28" ht="15.75" customHeight="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3:28" ht="15.75" customHeight="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3:28" ht="15.75" customHeight="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3:28" ht="15.75" customHeight="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3:28" ht="15.75" customHeight="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3:28" ht="15.75" customHeight="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3:28" ht="15.75" customHeight="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3:28" ht="15.75" customHeight="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3:28" ht="15.75" customHeight="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3:28" ht="15.75" customHeight="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3:28" ht="15.75" customHeight="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3:28" ht="15.75" customHeight="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3:28" ht="15.75" customHeight="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3:28" ht="15.75" customHeight="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3:28" ht="15.75" customHeight="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3:28" ht="15.75" customHeight="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3:28" ht="15.75" customHeight="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3:28" ht="15.75" customHeight="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3:28" ht="15.75" customHeight="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3:28" ht="15.75" customHeight="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3:28" ht="15.75" customHeight="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3:28" ht="15.75" customHeight="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3:28" ht="15.75" customHeight="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3:28" ht="15.75" customHeight="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3:28" ht="15.75" customHeight="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3:28" ht="15.75" customHeight="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3:28" ht="15.75" customHeight="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3:28" ht="15.75" customHeight="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3:28" ht="15.75" customHeight="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3:28" ht="15.75" customHeight="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3:28" ht="15.75" customHeight="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3:28" ht="15.75" customHeight="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3:28" ht="15.75" customHeight="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3:28" ht="15.75" customHeight="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3:28" ht="15.75" customHeight="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3:28" ht="15.75" customHeight="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3:28" ht="15.75" customHeight="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3:28" ht="15.75" customHeight="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3:28" ht="15.75" customHeight="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3:28" ht="15.75" customHeight="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3:28" ht="15.75" customHeight="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3:28" ht="15.75" customHeight="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3:28" ht="15.75" customHeight="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3:28" ht="15.75" customHeight="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3:28" ht="15.75" customHeight="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3:28" ht="15.75" customHeight="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3:28" ht="15.75" customHeight="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3:28" ht="15.75" customHeight="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3:28" ht="15.75" customHeight="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3:28" ht="15.75" customHeight="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3:28" ht="15.75" customHeight="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3:28" ht="15.75" customHeight="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3:28" ht="15.75" customHeight="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3:28" ht="15.75" customHeight="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3:28" ht="15.75" customHeight="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3:28" ht="15.75" customHeight="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3:28" ht="15.75" customHeight="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3:28" ht="15.75" customHeight="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3:28" ht="15.75" customHeight="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3:28" ht="15.75" customHeight="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3:28" ht="15.75" customHeight="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3:28" ht="15.75" customHeight="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3:28" ht="15.75" customHeight="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3:28" ht="15.75" customHeight="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3:28" ht="15.75" customHeight="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3:28" ht="15.75" customHeight="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3:28" ht="15.75" customHeight="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3:28" ht="15.75" customHeight="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3:28" ht="15.75" customHeight="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3:28" ht="15.75" customHeight="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3:28" ht="15.75" customHeight="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3:28" ht="15.75" customHeight="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3:28" ht="15.75" customHeight="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3:28" ht="15.75" customHeight="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3:28" ht="15.75" customHeight="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3:28" ht="15.75" customHeight="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3:28" ht="15.75" customHeight="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3:28" ht="15.75" customHeight="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3:28" ht="15.75" customHeight="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3:28" ht="15.75" customHeight="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3:28" ht="15.75" customHeight="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3:28" ht="15.75" customHeight="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3:28" ht="15.75" customHeight="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3:28" ht="15.75" customHeight="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3:28" ht="15.75" customHeight="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3:28" ht="15.75" customHeight="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3:28" ht="15.75" customHeight="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3:28" ht="15.75" customHeight="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3:28" ht="15.75" customHeight="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3:28" ht="15.75" customHeight="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3:28" ht="15.75" customHeight="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3:28" ht="15.75" customHeight="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3:28" ht="15.75" customHeight="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3:28" ht="15.75" customHeight="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3:28" ht="15.75" customHeight="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3:28" ht="15.75" customHeight="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3:28" ht="15.75" customHeight="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3:28" ht="15.75" customHeight="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3:28" ht="15.75" customHeight="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3:28" ht="15.75" customHeight="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3:28" ht="15.75" customHeight="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3:28" ht="15.75" customHeight="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3:28" ht="15.75" customHeight="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3:28" ht="15.75" customHeight="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3:28" ht="15.75" customHeight="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3:28" ht="15.75" customHeight="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3:28" ht="15.75" customHeight="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3:28" ht="15.75" customHeight="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3:28" ht="15.75" customHeight="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3:28" ht="15.75" customHeight="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3:28" ht="15.75" customHeight="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3:28" ht="15.75" customHeight="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3:28" ht="15.75" customHeight="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3:28" ht="15.75" customHeight="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3:28" ht="15.75" customHeight="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3:28" ht="15.75" customHeight="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3:28" ht="15.75" customHeight="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3:28" ht="15.75" customHeight="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3:28" ht="15.75" customHeight="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3:28" ht="15.75" customHeight="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3:28" ht="15.75" customHeight="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3:28" ht="15.75" customHeight="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3:28" ht="15.75" customHeight="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3:28" ht="15.75" customHeight="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3:28" ht="15.75" customHeight="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3:28" ht="15.75" customHeight="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3:28" ht="15.75" customHeight="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3:28" ht="15.75" customHeight="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3:28" ht="15.75" customHeight="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3:28" ht="15.75" customHeight="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3:28" ht="15.75" customHeight="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3:28" ht="15.75" customHeight="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3:28" ht="15.75" customHeight="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3:28" ht="15.75" customHeight="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3:28" ht="15.75" customHeight="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3:28" ht="15.75" customHeight="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3:28" ht="15.75" customHeight="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3:28" ht="15.75" customHeight="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3:28" ht="15.75" customHeight="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3:28" ht="15.75" customHeight="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3:28" ht="15.75" customHeight="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3:28" ht="15.75" customHeight="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3:28" ht="15.75" customHeight="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3:28" ht="15.75" customHeight="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3:28" ht="15.75" customHeight="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3:28" ht="15.75" customHeight="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3:28" ht="15.75" customHeight="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3:28" ht="15.75" customHeight="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3:28" ht="15.75" customHeight="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3:28" ht="15.75" customHeight="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3:28" ht="15.75" customHeight="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3:28" ht="15.75" customHeight="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3:28" ht="15.75" customHeight="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3:28" ht="15.75" customHeight="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3:28" ht="15.75" customHeight="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3:28" ht="15.75" customHeight="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3:28" ht="15.75" customHeight="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3:28" ht="15.75" customHeight="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3:28" ht="15.75" customHeight="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3:28" ht="15.75" customHeight="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3:28" ht="15.75" customHeight="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3:28" ht="15.75" customHeight="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3:28" ht="15.75" customHeight="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3:28" ht="15.75" customHeight="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3:28" ht="15.75" customHeight="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3:28" ht="15.75" customHeight="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3:28" ht="15.75" customHeight="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3:28" ht="15.75" customHeight="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3:28" ht="15.75" customHeight="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3:28" ht="15.75" customHeight="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3:28" ht="15.75" customHeight="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3:28" ht="15.75" customHeight="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3:28" ht="15.75" customHeight="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3:28" ht="15.75" customHeight="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3:28" ht="15.75" customHeight="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3:28" ht="15.75" customHeight="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3:28" ht="15.75" customHeight="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3:28" ht="15.75" customHeight="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3:28" ht="15.75" customHeight="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3:28" ht="15.75" customHeight="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3:28" ht="15.75" customHeight="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3:28" ht="15.75" customHeight="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3:28" ht="15.75" customHeight="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3:28" ht="15.75" customHeight="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3:28" ht="15.75" customHeight="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3:28" ht="15.75" customHeight="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3:28" ht="15.75" customHeight="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3:28" ht="15.75" customHeight="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3:28" ht="15.75" customHeight="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3:28" ht="15.75" customHeight="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3:28" ht="15.75" customHeight="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3:28" ht="15.75" customHeight="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3:28" ht="15.75" customHeight="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3:28" ht="15.75" customHeight="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3:28" ht="15.75" customHeight="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3:28" ht="15.75" customHeight="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3:28" ht="15.75" customHeight="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3:28" ht="15.75" customHeight="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3:28" ht="15.75" customHeight="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3:28" ht="15.75" customHeight="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3:28" ht="15.75" customHeight="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3:28" ht="15.75" customHeight="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3:28" ht="15.75" customHeight="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3:28" ht="15.75" customHeight="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3:28" ht="15.75" customHeight="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3:28" ht="15.75" customHeight="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3:28" ht="15.75" customHeight="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3:28" ht="15.75" customHeight="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3:28" ht="15.75" customHeight="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3:28" ht="15.75" customHeight="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3:28" ht="15.75" customHeight="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3:28" ht="15.75" customHeight="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3:28" ht="15.75" customHeight="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3:28" ht="15.75" customHeight="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3:28" ht="15.75" customHeight="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3:28" ht="15.75" customHeight="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3:28" ht="15.75" customHeight="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3:28" ht="15.75" customHeight="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3:28" ht="15.75" customHeight="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3:28" ht="15.75" customHeight="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3:28" ht="15.75" customHeight="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3:28" ht="15.75" customHeight="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3:28" ht="15.75" customHeight="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3:28" ht="15.75" customHeight="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3:28" ht="15.75" customHeight="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3:28" ht="15.75" customHeight="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3:28" ht="15.75" customHeight="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3:28" ht="15.75" customHeight="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3:28" ht="15.75" customHeight="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3:28" ht="15.75" customHeight="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3:28" ht="15.75" customHeight="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3:28" ht="15.75" customHeight="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3:28" ht="15.75" customHeight="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3:28" ht="15.75" customHeight="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3:28" ht="15.75" customHeight="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3:28" ht="15.75" customHeight="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3:28" ht="15.75" customHeight="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3:28" ht="15.75" customHeight="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3:28" ht="15.75" customHeight="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3:28" ht="15.75" customHeight="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3:28" ht="15.75" customHeight="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3:28" ht="15.75" customHeight="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3:28" ht="15.75" customHeight="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3:28" ht="15.75" customHeight="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3:28" ht="15.75" customHeight="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3:28" ht="15.75" customHeight="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3:28" ht="15.75" customHeight="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3:28" ht="15.75" customHeight="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3:28" ht="15.75" customHeight="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3:28" ht="15.75" customHeight="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3:28" ht="15.75" customHeight="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3:28" ht="15.75" customHeight="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3:28" ht="15.75" customHeight="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3:28" ht="15.75" customHeight="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3:28" ht="15.75" customHeight="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3:28" ht="15.75" customHeight="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3:28" ht="15.75" customHeight="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3:28" ht="15.75" customHeight="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3:28" ht="15.75" customHeight="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3:28" ht="15.75" customHeight="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3:28" ht="15.75" customHeight="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3:28" ht="15.75" customHeight="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3:28" ht="15.75" customHeight="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3:28" ht="15.75" customHeight="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3:28" ht="15.75" customHeight="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3:28" ht="15.75" customHeight="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3:28" ht="15.75" customHeight="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3:28" ht="15.75" customHeight="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3:28" ht="15.75" customHeight="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3:28" ht="15.75" customHeight="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3:28" ht="15.75" customHeight="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3:28" ht="15.75" customHeight="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3:28" ht="15.75" customHeight="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3:28" ht="15.75" customHeight="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3:28" ht="15.75" customHeight="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3:28" ht="15.75" customHeight="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3:28" ht="15.75" customHeight="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3:28" ht="15.75" customHeight="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3:28" ht="15.75" customHeight="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3:28" ht="15.75" customHeight="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3:28" ht="15.75" customHeight="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3:28" ht="15.75" customHeight="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3:28" ht="15.75" customHeight="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3:28" ht="15.75" customHeight="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3:28" ht="15.75" customHeight="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3:28" ht="15.75" customHeight="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3:28" ht="15.75" customHeight="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3:28" ht="15.75" customHeight="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3:28" ht="15.75" customHeight="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3:28" ht="15.75" customHeight="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3:28" ht="15.75" customHeight="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3:28" ht="15.75" customHeight="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3:28" ht="15.75" customHeight="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3:28" ht="15.75" customHeight="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3:28" ht="15.75" customHeight="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3:28" ht="15.75" customHeight="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3:28" ht="15.75" customHeight="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3:28" ht="15.75" customHeight="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3:28" ht="15.75" customHeight="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3:28" ht="15.75" customHeight="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3:28" ht="15.75" customHeight="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3:28" ht="15.75" customHeight="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3:28" ht="15.75" customHeight="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3:28" ht="15.75" customHeight="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3:28" ht="15.75" customHeight="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3:28" ht="15.75" customHeight="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3:28" ht="15.75" customHeight="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3:28" ht="15.75" customHeight="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3:28" ht="15.75" customHeight="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3:28" ht="15.75" customHeight="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3:28" ht="15.75" customHeight="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3:28" ht="15.75" customHeight="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3:28" ht="15.75" customHeight="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3:28" ht="15.75" customHeight="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3:28" ht="15.75" customHeight="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3:28" ht="15.75" customHeight="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3:28" ht="15.75" customHeight="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3:28" ht="15.75" customHeight="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3:28" ht="15.75" customHeight="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3:28" ht="15.75" customHeight="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3:28" ht="15.75" customHeight="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3:28" ht="15.75" customHeight="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3:28" ht="15.75" customHeight="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3:28" ht="15.75" customHeight="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3:28" ht="15.75" customHeight="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3:28" ht="15.75" customHeight="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3:28" ht="15.75" customHeight="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3:28" ht="15.75" customHeight="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3:28" ht="15.75" customHeight="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3:28" ht="15.75" customHeight="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3:28" ht="15.75" customHeight="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3:28" ht="15.75" customHeight="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3:28" ht="15.75" customHeight="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3:28" ht="15.75" customHeight="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3:28" ht="15.75" customHeight="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3:28" ht="15.75" customHeight="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3:28" ht="15.75" customHeight="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3:28" ht="15.75" customHeight="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3:28" ht="15.75" customHeight="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3:28" ht="15.75" customHeight="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3:28" ht="15.75" customHeight="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3:28" ht="15.75" customHeight="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3:28" ht="15.75" customHeight="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3:28" ht="15.75" customHeight="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3:28" ht="15.75" customHeight="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3:28" ht="15.75" customHeight="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3:28" ht="15.75" customHeight="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3:28" ht="15.75" customHeight="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3:28" ht="15.75" customHeight="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3:28" ht="15.75" customHeight="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3:28" ht="15.75" customHeight="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3:28" ht="15.75" customHeight="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3:28" ht="15.75" customHeight="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3:28" ht="15.75" customHeight="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3:28" ht="15.75" customHeight="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3:28" ht="15.75" customHeight="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3:28" ht="15.75" customHeight="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3:28" ht="15.75" customHeight="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3:28" ht="15.75" customHeight="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3:28" ht="15.75" customHeight="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3:28" ht="15.75" customHeight="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3:28" ht="15.75" customHeight="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3:28" ht="15.75" customHeight="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3:28" ht="15.75" customHeight="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3:28" ht="15.75" customHeight="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3:28" ht="15.75" customHeight="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3:28" ht="15.75" customHeight="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3:28" ht="15.75" customHeight="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3:28" ht="15.75" customHeight="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3:28" ht="15.75" customHeight="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3:28" ht="15.75" customHeight="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3:28" ht="15.75" customHeight="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3:28" ht="15.75" customHeight="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3:28" ht="15.75" customHeight="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3:28" ht="15.75" customHeight="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3:28" ht="15.75" customHeight="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3:28" ht="15.75" customHeight="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3:28" ht="15.75" customHeight="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3:28" ht="15.75" customHeight="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3:28" ht="15.75" customHeight="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3:28" ht="15.75" customHeight="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3:28" ht="15.75" customHeight="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3:28" ht="15.75" customHeight="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3:28" ht="15.75" customHeight="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3:28" ht="15.75" customHeight="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3:28" ht="15.75" customHeight="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3:28" ht="15.75" customHeight="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3:28" ht="15.75" customHeight="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3:28" ht="15.75" customHeight="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3:28" ht="15.75" customHeight="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3:28" ht="15.75" customHeight="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3:28" ht="15.75" customHeight="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3:28" ht="15.75" customHeight="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3:28" ht="15.75" customHeight="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3:28" ht="15.75" customHeight="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3:28" ht="15.75" customHeight="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3:28" ht="15.75" customHeight="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3:28" ht="15.75" customHeight="1">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sheetProtection sheet="1" scenarios="1" formatCells="0" formatColumns="0" formatRows="0" sort="0" autoFilter="0"/>
  <mergeCells count="2">
    <mergeCell ref="D5:M5"/>
    <mergeCell ref="D7:F8"/>
  </mergeCells>
  <dataValidations count="2">
    <dataValidation type="list" allowBlank="1" sqref="F14" xr:uid="{00000000-0002-0000-0700-000000000000}">
      <formula1>tzList</formula1>
      <formula2>0</formula2>
    </dataValidation>
    <dataValidation type="list" errorTitle="Invalid language" error="Pick a language from the list" sqref="F11" xr:uid="{00000000-0002-0000-0700-000001000000}">
      <formula1>langList</formula1>
    </dataValidation>
  </dataValidations>
  <pageMargins left="0.75" right="0.75" top="1" bottom="1"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8C8C8"/>
  </sheetPr>
  <dimension ref="A1:Z1000"/>
  <sheetViews>
    <sheetView zoomScaleNormal="100" workbookViewId="0">
      <selection activeCell="D12" sqref="D12"/>
    </sheetView>
  </sheetViews>
  <sheetFormatPr baseColWidth="10" defaultColWidth="11.28515625" defaultRowHeight="15" customHeight="1"/>
  <cols>
    <col min="1" max="26" width="8.5703125" style="104" customWidth="1"/>
    <col min="27" max="33" width="11.28515625" style="104" customWidth="1"/>
    <col min="34" max="16384" width="11.28515625" style="104"/>
  </cols>
  <sheetData>
    <row r="1" spans="1:26" ht="15" customHeight="1">
      <c r="A1" s="67" t="s">
        <v>342</v>
      </c>
      <c r="B1" s="67" t="s">
        <v>343</v>
      </c>
      <c r="C1" s="67" t="s">
        <v>153</v>
      </c>
      <c r="D1" s="67" t="s">
        <v>344</v>
      </c>
      <c r="E1" s="67" t="s">
        <v>345</v>
      </c>
      <c r="F1" s="67" t="s">
        <v>346</v>
      </c>
      <c r="G1" s="67" t="s">
        <v>347</v>
      </c>
      <c r="H1" s="67" t="s">
        <v>348</v>
      </c>
      <c r="I1" s="67" t="s">
        <v>349</v>
      </c>
      <c r="J1" s="67" t="s">
        <v>350</v>
      </c>
      <c r="K1" s="67" t="s">
        <v>351</v>
      </c>
      <c r="L1" s="67"/>
      <c r="M1" s="67"/>
      <c r="N1" s="67"/>
      <c r="O1" s="67"/>
      <c r="P1" s="67"/>
      <c r="Q1" s="67"/>
      <c r="R1" s="67"/>
      <c r="S1" s="67"/>
      <c r="T1" s="67"/>
      <c r="U1" s="67"/>
      <c r="V1" s="67"/>
      <c r="W1" s="67"/>
      <c r="X1" s="67"/>
      <c r="Y1" s="67"/>
      <c r="Z1" s="67"/>
    </row>
    <row r="2" spans="1:26" ht="15" customHeight="1">
      <c r="A2" s="67">
        <v>1</v>
      </c>
      <c r="B2" s="67" t="s">
        <v>153</v>
      </c>
      <c r="C2" s="67" t="s">
        <v>92</v>
      </c>
      <c r="D2" s="128">
        <v>46184.791666666657</v>
      </c>
      <c r="E2" s="67" t="s">
        <v>8</v>
      </c>
      <c r="F2" s="67" t="s">
        <v>9</v>
      </c>
      <c r="G2" s="67" t="s">
        <v>10</v>
      </c>
      <c r="H2" s="67">
        <v>1</v>
      </c>
      <c r="I2" s="67">
        <v>0</v>
      </c>
      <c r="J2" s="67"/>
      <c r="K2" s="67"/>
      <c r="L2" s="67"/>
      <c r="M2" s="67"/>
      <c r="N2" s="67"/>
      <c r="O2" s="67"/>
      <c r="P2" s="67"/>
      <c r="Q2" s="67"/>
      <c r="R2" s="67"/>
      <c r="S2" s="67"/>
      <c r="T2" s="67"/>
      <c r="U2" s="67"/>
      <c r="V2" s="67"/>
      <c r="W2" s="67"/>
      <c r="X2" s="67"/>
      <c r="Y2" s="67"/>
      <c r="Z2" s="67"/>
    </row>
    <row r="3" spans="1:26" ht="15" customHeight="1">
      <c r="A3" s="67">
        <v>2</v>
      </c>
      <c r="B3" s="67" t="s">
        <v>153</v>
      </c>
      <c r="C3" s="67" t="s">
        <v>92</v>
      </c>
      <c r="D3" s="128">
        <v>46185.083333333343</v>
      </c>
      <c r="E3" s="67" t="s">
        <v>11</v>
      </c>
      <c r="F3" s="67" t="s">
        <v>12</v>
      </c>
      <c r="G3" s="67" t="s">
        <v>13</v>
      </c>
      <c r="H3" s="67">
        <v>1</v>
      </c>
      <c r="I3" s="67">
        <v>0</v>
      </c>
      <c r="J3" s="67"/>
      <c r="K3" s="67"/>
      <c r="L3" s="67"/>
      <c r="M3" s="67"/>
      <c r="N3" s="67"/>
      <c r="O3" s="67"/>
      <c r="P3" s="67"/>
      <c r="Q3" s="67"/>
      <c r="R3" s="67"/>
      <c r="S3" s="67"/>
      <c r="T3" s="67"/>
      <c r="U3" s="67"/>
      <c r="V3" s="67"/>
      <c r="W3" s="67"/>
      <c r="X3" s="67"/>
      <c r="Y3" s="67"/>
      <c r="Z3" s="67"/>
    </row>
    <row r="4" spans="1:26" ht="15" customHeight="1">
      <c r="A4" s="67">
        <v>3</v>
      </c>
      <c r="B4" s="67" t="s">
        <v>153</v>
      </c>
      <c r="C4" s="67" t="s">
        <v>93</v>
      </c>
      <c r="D4" s="128">
        <v>46185.791666666657</v>
      </c>
      <c r="E4" s="67" t="s">
        <v>15</v>
      </c>
      <c r="F4" s="67" t="s">
        <v>16</v>
      </c>
      <c r="G4" s="67" t="s">
        <v>17</v>
      </c>
      <c r="H4" s="67">
        <v>0</v>
      </c>
      <c r="I4" s="67">
        <v>0</v>
      </c>
      <c r="J4" s="67"/>
      <c r="K4" s="67"/>
      <c r="L4" s="67"/>
      <c r="M4" s="67"/>
      <c r="N4" s="67"/>
      <c r="O4" s="67"/>
      <c r="P4" s="67"/>
      <c r="Q4" s="67"/>
      <c r="R4" s="67"/>
      <c r="S4" s="67"/>
      <c r="T4" s="67"/>
      <c r="U4" s="67"/>
      <c r="V4" s="67"/>
      <c r="W4" s="67"/>
      <c r="X4" s="67"/>
      <c r="Y4" s="67"/>
      <c r="Z4" s="67"/>
    </row>
    <row r="5" spans="1:26" ht="15" customHeight="1">
      <c r="A5" s="67">
        <v>4</v>
      </c>
      <c r="B5" s="67" t="s">
        <v>153</v>
      </c>
      <c r="C5" s="67" t="s">
        <v>95</v>
      </c>
      <c r="D5" s="128">
        <v>46186.041666666657</v>
      </c>
      <c r="E5" s="67" t="s">
        <v>19</v>
      </c>
      <c r="F5" s="67" t="s">
        <v>20</v>
      </c>
      <c r="G5" s="67" t="s">
        <v>21</v>
      </c>
      <c r="H5" s="67">
        <v>0</v>
      </c>
      <c r="I5" s="67">
        <v>0</v>
      </c>
      <c r="J5" s="67"/>
      <c r="K5" s="67"/>
      <c r="L5" s="67"/>
      <c r="M5" s="67"/>
      <c r="N5" s="67"/>
      <c r="O5" s="67"/>
      <c r="P5" s="67"/>
      <c r="Q5" s="67"/>
      <c r="R5" s="67"/>
      <c r="S5" s="67"/>
      <c r="T5" s="67"/>
      <c r="U5" s="67"/>
      <c r="V5" s="67"/>
      <c r="W5" s="67"/>
      <c r="X5" s="67"/>
      <c r="Y5" s="67"/>
      <c r="Z5" s="67"/>
    </row>
    <row r="6" spans="1:26" ht="15" customHeight="1">
      <c r="A6" s="67">
        <v>5</v>
      </c>
      <c r="B6" s="67" t="s">
        <v>153</v>
      </c>
      <c r="C6" s="67" t="s">
        <v>93</v>
      </c>
      <c r="D6" s="128">
        <v>46186.791666666657</v>
      </c>
      <c r="E6" s="67" t="s">
        <v>22</v>
      </c>
      <c r="F6" s="67" t="s">
        <v>23</v>
      </c>
      <c r="G6" s="67" t="s">
        <v>24</v>
      </c>
      <c r="H6" s="67">
        <v>1</v>
      </c>
      <c r="I6" s="67">
        <v>0</v>
      </c>
      <c r="J6" s="67"/>
      <c r="K6" s="67"/>
      <c r="L6" s="67"/>
      <c r="M6" s="67"/>
      <c r="N6" s="67"/>
      <c r="O6" s="67"/>
      <c r="P6" s="67"/>
      <c r="Q6" s="67"/>
      <c r="R6" s="67"/>
      <c r="S6" s="67"/>
      <c r="T6" s="67"/>
      <c r="U6" s="67"/>
      <c r="V6" s="67"/>
      <c r="W6" s="67"/>
      <c r="X6" s="67"/>
      <c r="Y6" s="67"/>
      <c r="Z6" s="67"/>
    </row>
    <row r="7" spans="1:26" ht="15" customHeight="1">
      <c r="A7" s="67">
        <v>6</v>
      </c>
      <c r="B7" s="67" t="s">
        <v>153</v>
      </c>
      <c r="C7" s="67" t="s">
        <v>94</v>
      </c>
      <c r="D7" s="128">
        <v>46186.916666666657</v>
      </c>
      <c r="E7" s="67" t="s">
        <v>26</v>
      </c>
      <c r="F7" s="67" t="s">
        <v>27</v>
      </c>
      <c r="G7" s="67" t="s">
        <v>28</v>
      </c>
      <c r="H7" s="67">
        <v>0</v>
      </c>
      <c r="I7" s="67">
        <v>0</v>
      </c>
      <c r="J7" s="67"/>
      <c r="K7" s="67"/>
      <c r="L7" s="67"/>
      <c r="M7" s="67"/>
      <c r="N7" s="67"/>
      <c r="O7" s="67"/>
      <c r="P7" s="67"/>
      <c r="Q7" s="67"/>
      <c r="R7" s="67"/>
      <c r="S7" s="67"/>
      <c r="T7" s="67"/>
      <c r="U7" s="67"/>
      <c r="V7" s="67"/>
      <c r="W7" s="67"/>
      <c r="X7" s="67"/>
      <c r="Y7" s="67"/>
      <c r="Z7" s="67"/>
    </row>
    <row r="8" spans="1:26" ht="15" customHeight="1">
      <c r="A8" s="67">
        <v>7</v>
      </c>
      <c r="B8" s="67" t="s">
        <v>153</v>
      </c>
      <c r="C8" s="67" t="s">
        <v>94</v>
      </c>
      <c r="D8" s="128">
        <v>46187.041666666657</v>
      </c>
      <c r="E8" s="67" t="s">
        <v>29</v>
      </c>
      <c r="F8" s="67" t="s">
        <v>30</v>
      </c>
      <c r="G8" s="67" t="s">
        <v>31</v>
      </c>
      <c r="H8" s="67">
        <v>0</v>
      </c>
      <c r="I8" s="67">
        <v>0</v>
      </c>
      <c r="J8" s="67"/>
      <c r="K8" s="67"/>
      <c r="L8" s="67"/>
      <c r="M8" s="67"/>
      <c r="N8" s="67"/>
      <c r="O8" s="67"/>
      <c r="P8" s="67"/>
      <c r="Q8" s="67"/>
      <c r="R8" s="67"/>
      <c r="S8" s="67"/>
      <c r="T8" s="67"/>
      <c r="U8" s="67"/>
      <c r="V8" s="67"/>
      <c r="W8" s="67"/>
      <c r="X8" s="67"/>
      <c r="Y8" s="67"/>
      <c r="Z8" s="67"/>
    </row>
    <row r="9" spans="1:26" ht="15" customHeight="1">
      <c r="A9" s="67">
        <v>8</v>
      </c>
      <c r="B9" s="67" t="s">
        <v>153</v>
      </c>
      <c r="C9" s="67" t="s">
        <v>95</v>
      </c>
      <c r="D9" s="128">
        <v>46187.666666666657</v>
      </c>
      <c r="E9" s="67" t="s">
        <v>32</v>
      </c>
      <c r="F9" s="67" t="s">
        <v>33</v>
      </c>
      <c r="G9" s="67" t="s">
        <v>34</v>
      </c>
      <c r="H9" s="67">
        <v>1</v>
      </c>
      <c r="I9" s="67">
        <v>0</v>
      </c>
      <c r="J9" s="67"/>
      <c r="K9" s="67"/>
      <c r="L9" s="67"/>
      <c r="M9" s="67"/>
      <c r="N9" s="67"/>
      <c r="O9" s="67"/>
      <c r="P9" s="67"/>
      <c r="Q9" s="67"/>
      <c r="R9" s="67"/>
      <c r="S9" s="67"/>
      <c r="T9" s="67"/>
      <c r="U9" s="67"/>
      <c r="V9" s="67"/>
      <c r="W9" s="67"/>
      <c r="X9" s="67"/>
      <c r="Y9" s="67"/>
      <c r="Z9" s="67"/>
    </row>
    <row r="10" spans="1:26" ht="15" customHeight="1">
      <c r="A10" s="67">
        <v>9</v>
      </c>
      <c r="B10" s="67" t="s">
        <v>153</v>
      </c>
      <c r="C10" s="67" t="s">
        <v>96</v>
      </c>
      <c r="D10" s="128">
        <v>46187.708333333343</v>
      </c>
      <c r="E10" s="67" t="s">
        <v>36</v>
      </c>
      <c r="F10" s="67" t="s">
        <v>37</v>
      </c>
      <c r="G10" s="67" t="s">
        <v>38</v>
      </c>
      <c r="H10" s="67">
        <v>1</v>
      </c>
      <c r="I10" s="67">
        <v>0</v>
      </c>
      <c r="J10" s="67"/>
      <c r="K10" s="67"/>
      <c r="L10" s="67"/>
      <c r="M10" s="67"/>
      <c r="N10" s="67"/>
      <c r="O10" s="67"/>
      <c r="P10" s="67"/>
      <c r="Q10" s="67"/>
      <c r="R10" s="67"/>
      <c r="S10" s="67"/>
      <c r="T10" s="67"/>
      <c r="U10" s="67"/>
      <c r="V10" s="67"/>
      <c r="W10" s="67"/>
      <c r="X10" s="67"/>
      <c r="Y10" s="67"/>
      <c r="Z10" s="67"/>
    </row>
    <row r="11" spans="1:26" ht="15" customHeight="1">
      <c r="A11" s="67">
        <v>10</v>
      </c>
      <c r="B11" s="67" t="s">
        <v>153</v>
      </c>
      <c r="C11" s="67" t="s">
        <v>97</v>
      </c>
      <c r="D11" s="128">
        <v>46187.833333333343</v>
      </c>
      <c r="E11" s="67" t="s">
        <v>40</v>
      </c>
      <c r="F11" s="67" t="s">
        <v>41</v>
      </c>
      <c r="G11" s="67" t="s">
        <v>42</v>
      </c>
      <c r="H11" s="67">
        <v>1</v>
      </c>
      <c r="I11" s="67">
        <v>0</v>
      </c>
      <c r="J11" s="67"/>
      <c r="K11" s="67"/>
      <c r="L11" s="67"/>
      <c r="M11" s="67"/>
      <c r="N11" s="67"/>
      <c r="O11" s="67"/>
      <c r="P11" s="67"/>
      <c r="Q11" s="67"/>
      <c r="R11" s="67"/>
      <c r="S11" s="67"/>
      <c r="T11" s="67"/>
      <c r="U11" s="67"/>
      <c r="V11" s="67"/>
      <c r="W11" s="67"/>
      <c r="X11" s="67"/>
      <c r="Y11" s="67"/>
      <c r="Z11" s="67"/>
    </row>
    <row r="12" spans="1:26" ht="15" customHeight="1">
      <c r="A12" s="67">
        <v>11</v>
      </c>
      <c r="B12" s="67" t="s">
        <v>153</v>
      </c>
      <c r="C12" s="67" t="s">
        <v>96</v>
      </c>
      <c r="D12" s="128">
        <v>46187.958333333343</v>
      </c>
      <c r="E12" s="67" t="s">
        <v>43</v>
      </c>
      <c r="F12" s="67" t="s">
        <v>44</v>
      </c>
      <c r="G12" s="67" t="s">
        <v>45</v>
      </c>
      <c r="H12" s="67">
        <v>0</v>
      </c>
      <c r="I12" s="67">
        <v>0</v>
      </c>
      <c r="J12" s="67"/>
      <c r="K12" s="67"/>
      <c r="L12" s="67"/>
      <c r="M12" s="67"/>
      <c r="N12" s="67"/>
      <c r="O12" s="67"/>
      <c r="P12" s="67"/>
      <c r="Q12" s="67"/>
      <c r="R12" s="67"/>
      <c r="S12" s="67"/>
      <c r="T12" s="67"/>
      <c r="U12" s="67"/>
      <c r="V12" s="67"/>
      <c r="W12" s="67"/>
      <c r="X12" s="67"/>
      <c r="Y12" s="67"/>
      <c r="Z12" s="67"/>
    </row>
    <row r="13" spans="1:26" ht="15" customHeight="1">
      <c r="A13" s="67">
        <v>12</v>
      </c>
      <c r="B13" s="67" t="s">
        <v>153</v>
      </c>
      <c r="C13" s="67" t="s">
        <v>97</v>
      </c>
      <c r="D13" s="128">
        <v>46188.083333333343</v>
      </c>
      <c r="E13" s="67" t="s">
        <v>46</v>
      </c>
      <c r="F13" s="67" t="s">
        <v>47</v>
      </c>
      <c r="G13" s="67" t="s">
        <v>48</v>
      </c>
      <c r="H13" s="67">
        <v>1</v>
      </c>
      <c r="I13" s="67">
        <v>0</v>
      </c>
      <c r="J13" s="67"/>
      <c r="K13" s="67"/>
      <c r="L13" s="67"/>
      <c r="M13" s="67"/>
      <c r="N13" s="67"/>
      <c r="O13" s="67"/>
      <c r="P13" s="67"/>
      <c r="Q13" s="67"/>
      <c r="R13" s="67"/>
      <c r="S13" s="67"/>
      <c r="T13" s="67"/>
      <c r="U13" s="67"/>
      <c r="V13" s="67"/>
      <c r="W13" s="67"/>
      <c r="X13" s="67"/>
      <c r="Y13" s="67"/>
      <c r="Z13" s="67"/>
    </row>
    <row r="14" spans="1:26" ht="15" customHeight="1">
      <c r="A14" s="67">
        <v>13</v>
      </c>
      <c r="B14" s="67" t="s">
        <v>153</v>
      </c>
      <c r="C14" s="67" t="s">
        <v>99</v>
      </c>
      <c r="D14" s="128">
        <v>46188.666666666657</v>
      </c>
      <c r="E14" s="67" t="s">
        <v>50</v>
      </c>
      <c r="F14" s="67" t="s">
        <v>51</v>
      </c>
      <c r="G14" s="67" t="s">
        <v>52</v>
      </c>
      <c r="H14" s="67">
        <v>1</v>
      </c>
      <c r="I14" s="67">
        <v>0</v>
      </c>
      <c r="J14" s="67"/>
      <c r="K14" s="67"/>
      <c r="L14" s="67"/>
      <c r="M14" s="67"/>
      <c r="N14" s="67"/>
      <c r="O14" s="67"/>
      <c r="P14" s="67"/>
      <c r="Q14" s="67"/>
      <c r="R14" s="67"/>
      <c r="S14" s="67"/>
      <c r="T14" s="67"/>
      <c r="U14" s="67"/>
      <c r="V14" s="67"/>
      <c r="W14" s="67"/>
      <c r="X14" s="67"/>
      <c r="Y14" s="67"/>
      <c r="Z14" s="67"/>
    </row>
    <row r="15" spans="1:26" ht="15" customHeight="1">
      <c r="A15" s="67">
        <v>14</v>
      </c>
      <c r="B15" s="67" t="s">
        <v>153</v>
      </c>
      <c r="C15" s="67" t="s">
        <v>98</v>
      </c>
      <c r="D15" s="128">
        <v>46188.791666666657</v>
      </c>
      <c r="E15" s="67" t="s">
        <v>54</v>
      </c>
      <c r="F15" s="67" t="s">
        <v>55</v>
      </c>
      <c r="G15" s="67" t="s">
        <v>56</v>
      </c>
      <c r="H15" s="67">
        <v>0</v>
      </c>
      <c r="I15" s="67">
        <v>0</v>
      </c>
      <c r="J15" s="67"/>
      <c r="K15" s="67"/>
      <c r="L15" s="67"/>
      <c r="M15" s="67"/>
      <c r="N15" s="67"/>
      <c r="O15" s="67"/>
      <c r="P15" s="67"/>
      <c r="Q15" s="67"/>
      <c r="R15" s="67"/>
      <c r="S15" s="67"/>
      <c r="T15" s="67"/>
      <c r="U15" s="67"/>
      <c r="V15" s="67"/>
      <c r="W15" s="67"/>
      <c r="X15" s="67"/>
      <c r="Y15" s="67"/>
      <c r="Z15" s="67"/>
    </row>
    <row r="16" spans="1:26" ht="15" customHeight="1">
      <c r="A16" s="67">
        <v>15</v>
      </c>
      <c r="B16" s="67" t="s">
        <v>153</v>
      </c>
      <c r="C16" s="67" t="s">
        <v>99</v>
      </c>
      <c r="D16" s="128">
        <v>46188.916666666657</v>
      </c>
      <c r="E16" s="67" t="s">
        <v>57</v>
      </c>
      <c r="F16" s="67" t="s">
        <v>58</v>
      </c>
      <c r="G16" s="67" t="s">
        <v>59</v>
      </c>
      <c r="H16" s="67">
        <v>1</v>
      </c>
      <c r="I16" s="67">
        <v>0</v>
      </c>
      <c r="J16" s="67"/>
      <c r="K16" s="67"/>
      <c r="L16" s="67"/>
      <c r="M16" s="67"/>
      <c r="N16" s="67"/>
      <c r="O16" s="67"/>
      <c r="P16" s="67"/>
      <c r="Q16" s="67"/>
      <c r="R16" s="67"/>
      <c r="S16" s="67"/>
      <c r="T16" s="67"/>
      <c r="U16" s="67"/>
      <c r="V16" s="67"/>
      <c r="W16" s="67"/>
      <c r="X16" s="67"/>
      <c r="Y16" s="67"/>
      <c r="Z16" s="67"/>
    </row>
    <row r="17" spans="1:26" ht="15" customHeight="1">
      <c r="A17" s="67">
        <v>16</v>
      </c>
      <c r="B17" s="67" t="s">
        <v>153</v>
      </c>
      <c r="C17" s="67" t="s">
        <v>98</v>
      </c>
      <c r="D17" s="128">
        <v>46189.041666666657</v>
      </c>
      <c r="E17" s="67" t="s">
        <v>60</v>
      </c>
      <c r="F17" s="67" t="s">
        <v>61</v>
      </c>
      <c r="G17" s="67" t="s">
        <v>21</v>
      </c>
      <c r="H17" s="67">
        <v>0</v>
      </c>
      <c r="I17" s="67">
        <v>0</v>
      </c>
      <c r="J17" s="67"/>
      <c r="K17" s="67"/>
      <c r="L17" s="67"/>
      <c r="M17" s="67"/>
      <c r="N17" s="67"/>
      <c r="O17" s="67"/>
      <c r="P17" s="67"/>
      <c r="Q17" s="67"/>
      <c r="R17" s="67"/>
      <c r="S17" s="67"/>
      <c r="T17" s="67"/>
      <c r="U17" s="67"/>
      <c r="V17" s="67"/>
      <c r="W17" s="67"/>
      <c r="X17" s="67"/>
      <c r="Y17" s="67"/>
      <c r="Z17" s="67"/>
    </row>
    <row r="18" spans="1:26" ht="15" customHeight="1">
      <c r="A18" s="67">
        <v>17</v>
      </c>
      <c r="B18" s="67" t="s">
        <v>153</v>
      </c>
      <c r="C18" s="67" t="s">
        <v>100</v>
      </c>
      <c r="D18" s="128">
        <v>46189.791666666657</v>
      </c>
      <c r="E18" s="67" t="s">
        <v>63</v>
      </c>
      <c r="F18" s="67" t="s">
        <v>64</v>
      </c>
      <c r="G18" s="67" t="s">
        <v>28</v>
      </c>
      <c r="H18" s="67">
        <v>0</v>
      </c>
      <c r="I18" s="67">
        <v>0</v>
      </c>
      <c r="J18" s="67"/>
      <c r="K18" s="67"/>
      <c r="L18" s="67"/>
      <c r="M18" s="67"/>
      <c r="N18" s="67"/>
      <c r="O18" s="67"/>
      <c r="P18" s="67"/>
      <c r="Q18" s="67"/>
      <c r="R18" s="67"/>
      <c r="S18" s="67"/>
      <c r="T18" s="67"/>
      <c r="U18" s="67"/>
      <c r="V18" s="67"/>
      <c r="W18" s="67"/>
      <c r="X18" s="67"/>
      <c r="Y18" s="67"/>
      <c r="Z18" s="67"/>
    </row>
    <row r="19" spans="1:26" ht="15" customHeight="1">
      <c r="A19" s="67">
        <v>18</v>
      </c>
      <c r="B19" s="67" t="s">
        <v>153</v>
      </c>
      <c r="C19" s="67" t="s">
        <v>100</v>
      </c>
      <c r="D19" s="128">
        <v>46189.916666666657</v>
      </c>
      <c r="E19" s="67" t="s">
        <v>65</v>
      </c>
      <c r="F19" s="67" t="s">
        <v>66</v>
      </c>
      <c r="G19" s="67" t="s">
        <v>31</v>
      </c>
      <c r="H19" s="67">
        <v>0</v>
      </c>
      <c r="I19" s="67">
        <v>0</v>
      </c>
      <c r="J19" s="67"/>
      <c r="K19" s="67"/>
      <c r="L19" s="67"/>
      <c r="M19" s="67"/>
      <c r="N19" s="67"/>
      <c r="O19" s="67"/>
      <c r="P19" s="67"/>
      <c r="Q19" s="67"/>
      <c r="R19" s="67"/>
      <c r="S19" s="67"/>
      <c r="T19" s="67"/>
      <c r="U19" s="67"/>
      <c r="V19" s="67"/>
      <c r="W19" s="67"/>
      <c r="X19" s="67"/>
      <c r="Y19" s="67"/>
      <c r="Z19" s="67"/>
    </row>
    <row r="20" spans="1:26" ht="15" customHeight="1">
      <c r="A20" s="67">
        <v>19</v>
      </c>
      <c r="B20" s="67" t="s">
        <v>153</v>
      </c>
      <c r="C20" s="67" t="s">
        <v>101</v>
      </c>
      <c r="D20" s="128">
        <v>46190.041666666657</v>
      </c>
      <c r="E20" s="67" t="s">
        <v>68</v>
      </c>
      <c r="F20" s="67" t="s">
        <v>69</v>
      </c>
      <c r="G20" s="67" t="s">
        <v>70</v>
      </c>
      <c r="H20" s="67">
        <v>1</v>
      </c>
      <c r="I20" s="67">
        <v>0</v>
      </c>
      <c r="J20" s="67"/>
      <c r="K20" s="67"/>
      <c r="L20" s="67"/>
      <c r="M20" s="67"/>
      <c r="N20" s="67"/>
      <c r="O20" s="67"/>
      <c r="P20" s="67"/>
      <c r="Q20" s="67"/>
      <c r="R20" s="67"/>
      <c r="S20" s="67"/>
      <c r="T20" s="67"/>
      <c r="U20" s="67"/>
      <c r="V20" s="67"/>
      <c r="W20" s="67"/>
      <c r="X20" s="67"/>
      <c r="Y20" s="67"/>
      <c r="Z20" s="67"/>
    </row>
    <row r="21" spans="1:26" ht="15" customHeight="1">
      <c r="A21" s="67">
        <v>20</v>
      </c>
      <c r="B21" s="67" t="s">
        <v>153</v>
      </c>
      <c r="C21" s="67" t="s">
        <v>101</v>
      </c>
      <c r="D21" s="128">
        <v>46190.166666666657</v>
      </c>
      <c r="E21" s="67" t="s">
        <v>71</v>
      </c>
      <c r="F21" s="67" t="s">
        <v>72</v>
      </c>
      <c r="G21" s="67" t="s">
        <v>24</v>
      </c>
      <c r="H21" s="67">
        <v>0</v>
      </c>
      <c r="I21" s="67">
        <v>0</v>
      </c>
      <c r="J21" s="67"/>
      <c r="K21" s="67"/>
      <c r="L21" s="67"/>
      <c r="M21" s="67"/>
      <c r="N21" s="67"/>
      <c r="O21" s="67"/>
      <c r="P21" s="67"/>
      <c r="Q21" s="67"/>
      <c r="R21" s="67"/>
      <c r="S21" s="67"/>
      <c r="T21" s="67"/>
      <c r="U21" s="67"/>
      <c r="V21" s="67"/>
      <c r="W21" s="67"/>
      <c r="X21" s="67"/>
      <c r="Y21" s="67"/>
      <c r="Z21" s="67"/>
    </row>
    <row r="22" spans="1:26" ht="15" customHeight="1">
      <c r="A22" s="67">
        <v>21</v>
      </c>
      <c r="B22" s="67" t="s">
        <v>153</v>
      </c>
      <c r="C22" s="67" t="s">
        <v>102</v>
      </c>
      <c r="D22" s="128">
        <v>46190.708333333343</v>
      </c>
      <c r="E22" s="67" t="s">
        <v>74</v>
      </c>
      <c r="F22" s="67" t="s">
        <v>75</v>
      </c>
      <c r="G22" s="67" t="s">
        <v>38</v>
      </c>
      <c r="H22" s="67">
        <v>0</v>
      </c>
      <c r="I22" s="67">
        <v>0</v>
      </c>
      <c r="J22" s="67"/>
      <c r="K22" s="67"/>
      <c r="L22" s="67"/>
      <c r="M22" s="67"/>
      <c r="N22" s="67"/>
      <c r="O22" s="67"/>
      <c r="P22" s="67"/>
      <c r="Q22" s="67"/>
      <c r="R22" s="67"/>
      <c r="S22" s="67"/>
      <c r="T22" s="67"/>
      <c r="U22" s="67"/>
      <c r="V22" s="67"/>
      <c r="W22" s="67"/>
      <c r="X22" s="67"/>
      <c r="Y22" s="67"/>
      <c r="Z22" s="67"/>
    </row>
    <row r="23" spans="1:26" ht="15" customHeight="1">
      <c r="A23" s="67">
        <v>22</v>
      </c>
      <c r="B23" s="67" t="s">
        <v>153</v>
      </c>
      <c r="C23" s="67" t="s">
        <v>103</v>
      </c>
      <c r="D23" s="128">
        <v>46190.833333333343</v>
      </c>
      <c r="E23" s="67" t="s">
        <v>77</v>
      </c>
      <c r="F23" s="67" t="s">
        <v>78</v>
      </c>
      <c r="G23" s="67" t="s">
        <v>42</v>
      </c>
      <c r="H23" s="67">
        <v>1</v>
      </c>
      <c r="I23" s="67">
        <v>0</v>
      </c>
      <c r="J23" s="67"/>
      <c r="K23" s="67"/>
      <c r="L23" s="67"/>
      <c r="M23" s="67"/>
      <c r="N23" s="67"/>
      <c r="O23" s="67"/>
      <c r="P23" s="67"/>
      <c r="Q23" s="67"/>
      <c r="R23" s="67"/>
      <c r="S23" s="67"/>
      <c r="T23" s="67"/>
      <c r="U23" s="67"/>
      <c r="V23" s="67"/>
      <c r="W23" s="67"/>
      <c r="X23" s="67"/>
      <c r="Y23" s="67"/>
      <c r="Z23" s="67"/>
    </row>
    <row r="24" spans="1:26" ht="15" customHeight="1">
      <c r="A24" s="67">
        <v>23</v>
      </c>
      <c r="B24" s="67" t="s">
        <v>153</v>
      </c>
      <c r="C24" s="67" t="s">
        <v>103</v>
      </c>
      <c r="D24" s="128">
        <v>46190.958333333343</v>
      </c>
      <c r="E24" s="67" t="s">
        <v>79</v>
      </c>
      <c r="F24" s="67" t="s">
        <v>80</v>
      </c>
      <c r="G24" s="67" t="s">
        <v>17</v>
      </c>
      <c r="H24" s="67">
        <v>1</v>
      </c>
      <c r="I24" s="67">
        <v>0</v>
      </c>
      <c r="J24" s="67"/>
      <c r="K24" s="67"/>
      <c r="L24" s="67"/>
      <c r="M24" s="67"/>
      <c r="N24" s="67"/>
      <c r="O24" s="67"/>
      <c r="P24" s="67"/>
      <c r="Q24" s="67"/>
      <c r="R24" s="67"/>
      <c r="S24" s="67"/>
      <c r="T24" s="67"/>
      <c r="U24" s="67"/>
      <c r="V24" s="67"/>
      <c r="W24" s="67"/>
      <c r="X24" s="67"/>
      <c r="Y24" s="67"/>
      <c r="Z24" s="67"/>
    </row>
    <row r="25" spans="1:26" ht="15" customHeight="1">
      <c r="A25" s="67">
        <v>24</v>
      </c>
      <c r="B25" s="67" t="s">
        <v>153</v>
      </c>
      <c r="C25" s="67" t="s">
        <v>102</v>
      </c>
      <c r="D25" s="128">
        <v>46191.083333333343</v>
      </c>
      <c r="E25" s="67" t="s">
        <v>81</v>
      </c>
      <c r="F25" s="67" t="s">
        <v>82</v>
      </c>
      <c r="G25" s="67" t="s">
        <v>10</v>
      </c>
      <c r="H25" s="67">
        <v>0</v>
      </c>
      <c r="I25" s="67">
        <v>0</v>
      </c>
      <c r="J25" s="67"/>
      <c r="K25" s="67"/>
      <c r="L25" s="67"/>
      <c r="M25" s="67"/>
      <c r="N25" s="67"/>
      <c r="O25" s="67"/>
      <c r="P25" s="67"/>
      <c r="Q25" s="67"/>
      <c r="R25" s="67"/>
      <c r="S25" s="67"/>
      <c r="T25" s="67"/>
      <c r="U25" s="67"/>
      <c r="V25" s="67"/>
      <c r="W25" s="67"/>
      <c r="X25" s="67"/>
      <c r="Y25" s="67"/>
      <c r="Z25" s="67"/>
    </row>
    <row r="26" spans="1:26" ht="15" customHeight="1">
      <c r="A26" s="67">
        <v>25</v>
      </c>
      <c r="B26" s="67" t="s">
        <v>153</v>
      </c>
      <c r="C26" s="67" t="s">
        <v>92</v>
      </c>
      <c r="D26" s="128">
        <v>46191.666666666657</v>
      </c>
      <c r="E26" s="67" t="s">
        <v>12</v>
      </c>
      <c r="F26" s="67" t="s">
        <v>9</v>
      </c>
      <c r="G26" s="67" t="s">
        <v>52</v>
      </c>
      <c r="H26" s="67">
        <v>0</v>
      </c>
      <c r="I26" s="67">
        <v>0</v>
      </c>
      <c r="J26" s="67"/>
      <c r="K26" s="67"/>
      <c r="L26" s="67"/>
      <c r="M26" s="67"/>
      <c r="N26" s="67"/>
      <c r="O26" s="67"/>
      <c r="P26" s="67"/>
      <c r="Q26" s="67"/>
      <c r="R26" s="67"/>
      <c r="S26" s="67"/>
      <c r="T26" s="67"/>
      <c r="U26" s="67"/>
      <c r="V26" s="67"/>
      <c r="W26" s="67"/>
      <c r="X26" s="67"/>
      <c r="Y26" s="67"/>
      <c r="Z26" s="67"/>
    </row>
    <row r="27" spans="1:26" ht="15" customHeight="1">
      <c r="A27" s="67">
        <v>26</v>
      </c>
      <c r="B27" s="67" t="s">
        <v>153</v>
      </c>
      <c r="C27" s="67" t="s">
        <v>93</v>
      </c>
      <c r="D27" s="128">
        <v>46191.791666666657</v>
      </c>
      <c r="E27" s="67" t="s">
        <v>23</v>
      </c>
      <c r="F27" s="67" t="s">
        <v>16</v>
      </c>
      <c r="G27" s="67" t="s">
        <v>21</v>
      </c>
      <c r="H27" s="67">
        <v>1</v>
      </c>
      <c r="I27" s="67">
        <v>0</v>
      </c>
      <c r="J27" s="67"/>
      <c r="K27" s="67"/>
      <c r="L27" s="67"/>
      <c r="M27" s="67"/>
      <c r="N27" s="67"/>
      <c r="O27" s="67"/>
      <c r="P27" s="67"/>
      <c r="Q27" s="67"/>
      <c r="R27" s="67"/>
      <c r="S27" s="67"/>
      <c r="T27" s="67"/>
      <c r="U27" s="67"/>
      <c r="V27" s="67"/>
      <c r="W27" s="67"/>
      <c r="X27" s="67"/>
      <c r="Y27" s="67"/>
      <c r="Z27" s="67"/>
    </row>
    <row r="28" spans="1:26" ht="15" customHeight="1">
      <c r="A28" s="67">
        <v>27</v>
      </c>
      <c r="B28" s="67" t="s">
        <v>153</v>
      </c>
      <c r="C28" s="67" t="s">
        <v>93</v>
      </c>
      <c r="D28" s="128">
        <v>46191.916666666657</v>
      </c>
      <c r="E28" s="67" t="s">
        <v>15</v>
      </c>
      <c r="F28" s="67" t="s">
        <v>22</v>
      </c>
      <c r="G28" s="67" t="s">
        <v>34</v>
      </c>
      <c r="H28" s="67">
        <v>1</v>
      </c>
      <c r="I28" s="67">
        <v>0</v>
      </c>
      <c r="J28" s="67"/>
      <c r="K28" s="67"/>
      <c r="L28" s="67"/>
      <c r="M28" s="67"/>
      <c r="N28" s="67"/>
      <c r="O28" s="67"/>
      <c r="P28" s="67"/>
      <c r="Q28" s="67"/>
      <c r="R28" s="67"/>
      <c r="S28" s="67"/>
      <c r="T28" s="67"/>
      <c r="U28" s="67"/>
      <c r="V28" s="67"/>
      <c r="W28" s="67"/>
      <c r="X28" s="67"/>
      <c r="Y28" s="67"/>
      <c r="Z28" s="67"/>
    </row>
    <row r="29" spans="1:26" ht="15" customHeight="1">
      <c r="A29" s="67">
        <v>28</v>
      </c>
      <c r="B29" s="67" t="s">
        <v>153</v>
      </c>
      <c r="C29" s="67" t="s">
        <v>92</v>
      </c>
      <c r="D29" s="128">
        <v>46192.041666666657</v>
      </c>
      <c r="E29" s="67" t="s">
        <v>8</v>
      </c>
      <c r="F29" s="67" t="s">
        <v>11</v>
      </c>
      <c r="G29" s="67" t="s">
        <v>13</v>
      </c>
      <c r="H29" s="67">
        <v>0</v>
      </c>
      <c r="I29" s="67">
        <v>0</v>
      </c>
      <c r="J29" s="67"/>
      <c r="K29" s="67"/>
      <c r="L29" s="67"/>
      <c r="M29" s="67"/>
      <c r="N29" s="67"/>
      <c r="O29" s="67"/>
      <c r="P29" s="67"/>
      <c r="Q29" s="67"/>
      <c r="R29" s="67"/>
      <c r="S29" s="67"/>
      <c r="T29" s="67"/>
      <c r="U29" s="67"/>
      <c r="V29" s="67"/>
      <c r="W29" s="67"/>
      <c r="X29" s="67"/>
      <c r="Y29" s="67"/>
      <c r="Z29" s="67"/>
    </row>
    <row r="30" spans="1:26" ht="15" customHeight="1">
      <c r="A30" s="67">
        <v>29</v>
      </c>
      <c r="B30" s="67" t="s">
        <v>153</v>
      </c>
      <c r="C30" s="67" t="s">
        <v>95</v>
      </c>
      <c r="D30" s="128">
        <v>46192.791666666657</v>
      </c>
      <c r="E30" s="67" t="s">
        <v>19</v>
      </c>
      <c r="F30" s="67" t="s">
        <v>32</v>
      </c>
      <c r="G30" s="67" t="s">
        <v>56</v>
      </c>
      <c r="H30" s="67">
        <v>0</v>
      </c>
      <c r="I30" s="67">
        <v>0</v>
      </c>
      <c r="J30" s="67"/>
      <c r="K30" s="67"/>
      <c r="L30" s="67"/>
      <c r="M30" s="67"/>
      <c r="N30" s="67"/>
      <c r="O30" s="67"/>
      <c r="P30" s="67"/>
      <c r="Q30" s="67"/>
      <c r="R30" s="67"/>
      <c r="S30" s="67"/>
      <c r="T30" s="67"/>
      <c r="U30" s="67"/>
      <c r="V30" s="67"/>
      <c r="W30" s="67"/>
      <c r="X30" s="67"/>
      <c r="Y30" s="67"/>
      <c r="Z30" s="67"/>
    </row>
    <row r="31" spans="1:26" ht="15" customHeight="1">
      <c r="A31" s="67">
        <v>30</v>
      </c>
      <c r="B31" s="67" t="s">
        <v>153</v>
      </c>
      <c r="C31" s="67" t="s">
        <v>94</v>
      </c>
      <c r="D31" s="128">
        <v>46192.916666666657</v>
      </c>
      <c r="E31" s="67" t="s">
        <v>30</v>
      </c>
      <c r="F31" s="67" t="s">
        <v>27</v>
      </c>
      <c r="G31" s="67" t="s">
        <v>31</v>
      </c>
      <c r="H31" s="67">
        <v>1</v>
      </c>
      <c r="I31" s="67">
        <v>0</v>
      </c>
      <c r="J31" s="67"/>
      <c r="K31" s="67"/>
      <c r="L31" s="67"/>
      <c r="M31" s="67"/>
      <c r="N31" s="67"/>
      <c r="O31" s="67"/>
      <c r="P31" s="67"/>
      <c r="Q31" s="67"/>
      <c r="R31" s="67"/>
      <c r="S31" s="67"/>
      <c r="T31" s="67"/>
      <c r="U31" s="67"/>
      <c r="V31" s="67"/>
      <c r="W31" s="67"/>
      <c r="X31" s="67"/>
      <c r="Y31" s="67"/>
      <c r="Z31" s="67"/>
    </row>
    <row r="32" spans="1:26" ht="15" customHeight="1">
      <c r="A32" s="67">
        <v>31</v>
      </c>
      <c r="B32" s="67" t="s">
        <v>153</v>
      </c>
      <c r="C32" s="67" t="s">
        <v>94</v>
      </c>
      <c r="D32" s="128">
        <v>46193.020833333343</v>
      </c>
      <c r="E32" s="67" t="s">
        <v>26</v>
      </c>
      <c r="F32" s="67" t="s">
        <v>29</v>
      </c>
      <c r="G32" s="67" t="s">
        <v>45</v>
      </c>
      <c r="H32" s="67">
        <v>1</v>
      </c>
      <c r="I32" s="67">
        <v>0</v>
      </c>
      <c r="J32" s="67"/>
      <c r="K32" s="67"/>
      <c r="L32" s="67"/>
      <c r="M32" s="67"/>
      <c r="N32" s="67"/>
      <c r="O32" s="67"/>
      <c r="P32" s="67"/>
      <c r="Q32" s="67"/>
      <c r="R32" s="67"/>
      <c r="S32" s="67"/>
      <c r="T32" s="67"/>
      <c r="U32" s="67"/>
      <c r="V32" s="67"/>
      <c r="W32" s="67"/>
      <c r="X32" s="67"/>
      <c r="Y32" s="67"/>
      <c r="Z32" s="67"/>
    </row>
    <row r="33" spans="1:26" ht="15" customHeight="1">
      <c r="A33" s="67">
        <v>32</v>
      </c>
      <c r="B33" s="67" t="s">
        <v>153</v>
      </c>
      <c r="C33" s="67" t="s">
        <v>95</v>
      </c>
      <c r="D33" s="128">
        <v>46193.125</v>
      </c>
      <c r="E33" s="67" t="s">
        <v>33</v>
      </c>
      <c r="F33" s="67" t="s">
        <v>20</v>
      </c>
      <c r="G33" s="67" t="s">
        <v>24</v>
      </c>
      <c r="H33" s="67">
        <v>1</v>
      </c>
      <c r="I33" s="67">
        <v>0</v>
      </c>
      <c r="J33" s="67"/>
      <c r="K33" s="67"/>
      <c r="L33" s="67"/>
      <c r="M33" s="67"/>
      <c r="N33" s="67"/>
      <c r="O33" s="67"/>
      <c r="P33" s="67"/>
      <c r="Q33" s="67"/>
      <c r="R33" s="67"/>
      <c r="S33" s="67"/>
      <c r="T33" s="67"/>
      <c r="U33" s="67"/>
      <c r="V33" s="67"/>
      <c r="W33" s="67"/>
      <c r="X33" s="67"/>
      <c r="Y33" s="67"/>
      <c r="Z33" s="67"/>
    </row>
    <row r="34" spans="1:26" ht="15" customHeight="1">
      <c r="A34" s="67">
        <v>33</v>
      </c>
      <c r="B34" s="67" t="s">
        <v>153</v>
      </c>
      <c r="C34" s="67" t="s">
        <v>97</v>
      </c>
      <c r="D34" s="128">
        <v>46193.708333333343</v>
      </c>
      <c r="E34" s="67" t="s">
        <v>40</v>
      </c>
      <c r="F34" s="67" t="s">
        <v>46</v>
      </c>
      <c r="G34" s="67" t="s">
        <v>38</v>
      </c>
      <c r="H34" s="67">
        <v>0</v>
      </c>
      <c r="I34" s="67">
        <v>0</v>
      </c>
      <c r="J34" s="67"/>
      <c r="K34" s="67"/>
      <c r="L34" s="67"/>
      <c r="M34" s="67"/>
      <c r="N34" s="67"/>
      <c r="O34" s="67"/>
      <c r="P34" s="67"/>
      <c r="Q34" s="67"/>
      <c r="R34" s="67"/>
      <c r="S34" s="67"/>
      <c r="T34" s="67"/>
      <c r="U34" s="67"/>
      <c r="V34" s="67"/>
      <c r="W34" s="67"/>
      <c r="X34" s="67"/>
      <c r="Y34" s="67"/>
      <c r="Z34" s="67"/>
    </row>
    <row r="35" spans="1:26" ht="15" customHeight="1">
      <c r="A35" s="67">
        <v>34</v>
      </c>
      <c r="B35" s="67" t="s">
        <v>153</v>
      </c>
      <c r="C35" s="67" t="s">
        <v>96</v>
      </c>
      <c r="D35" s="128">
        <v>46193.833333333343</v>
      </c>
      <c r="E35" s="67" t="s">
        <v>36</v>
      </c>
      <c r="F35" s="67" t="s">
        <v>43</v>
      </c>
      <c r="G35" s="67" t="s">
        <v>17</v>
      </c>
      <c r="H35" s="67">
        <v>1</v>
      </c>
      <c r="I35" s="67">
        <v>0</v>
      </c>
      <c r="J35" s="67"/>
      <c r="K35" s="67"/>
      <c r="L35" s="67"/>
      <c r="M35" s="67"/>
      <c r="N35" s="67"/>
      <c r="O35" s="67"/>
      <c r="P35" s="67"/>
      <c r="Q35" s="67"/>
      <c r="R35" s="67"/>
      <c r="S35" s="67"/>
      <c r="T35" s="67"/>
      <c r="U35" s="67"/>
      <c r="V35" s="67"/>
      <c r="W35" s="67"/>
      <c r="X35" s="67"/>
      <c r="Y35" s="67"/>
      <c r="Z35" s="67"/>
    </row>
    <row r="36" spans="1:26" ht="15" customHeight="1">
      <c r="A36" s="67">
        <v>35</v>
      </c>
      <c r="B36" s="67" t="s">
        <v>153</v>
      </c>
      <c r="C36" s="67" t="s">
        <v>96</v>
      </c>
      <c r="D36" s="128">
        <v>46194</v>
      </c>
      <c r="E36" s="67" t="s">
        <v>44</v>
      </c>
      <c r="F36" s="67" t="s">
        <v>37</v>
      </c>
      <c r="G36" s="67" t="s">
        <v>70</v>
      </c>
      <c r="H36" s="67">
        <v>0</v>
      </c>
      <c r="I36" s="67">
        <v>0</v>
      </c>
      <c r="J36" s="67"/>
      <c r="K36" s="67"/>
      <c r="L36" s="67"/>
      <c r="M36" s="67"/>
      <c r="N36" s="67"/>
      <c r="O36" s="67"/>
      <c r="P36" s="67"/>
      <c r="Q36" s="67"/>
      <c r="R36" s="67"/>
      <c r="S36" s="67"/>
      <c r="T36" s="67"/>
      <c r="U36" s="67"/>
      <c r="V36" s="67"/>
      <c r="W36" s="67"/>
      <c r="X36" s="67"/>
      <c r="Y36" s="67"/>
      <c r="Z36" s="67"/>
    </row>
    <row r="37" spans="1:26" ht="15" customHeight="1">
      <c r="A37" s="67">
        <v>36</v>
      </c>
      <c r="B37" s="67" t="s">
        <v>153</v>
      </c>
      <c r="C37" s="67" t="s">
        <v>97</v>
      </c>
      <c r="D37" s="128">
        <v>46194.166666666657</v>
      </c>
      <c r="E37" s="67" t="s">
        <v>47</v>
      </c>
      <c r="F37" s="67" t="s">
        <v>41</v>
      </c>
      <c r="G37" s="67" t="s">
        <v>48</v>
      </c>
      <c r="H37" s="67">
        <v>0</v>
      </c>
      <c r="I37" s="67">
        <v>0</v>
      </c>
      <c r="J37" s="67"/>
      <c r="K37" s="67"/>
      <c r="L37" s="67"/>
      <c r="M37" s="67"/>
      <c r="N37" s="67"/>
      <c r="O37" s="67"/>
      <c r="P37" s="67"/>
      <c r="Q37" s="67"/>
      <c r="R37" s="67"/>
      <c r="S37" s="67"/>
      <c r="T37" s="67"/>
      <c r="U37" s="67"/>
      <c r="V37" s="67"/>
      <c r="W37" s="67"/>
      <c r="X37" s="67"/>
      <c r="Y37" s="67"/>
      <c r="Z37" s="67"/>
    </row>
    <row r="38" spans="1:26" ht="15" customHeight="1">
      <c r="A38" s="67">
        <v>37</v>
      </c>
      <c r="B38" s="67" t="s">
        <v>153</v>
      </c>
      <c r="C38" s="67" t="s">
        <v>99</v>
      </c>
      <c r="D38" s="128">
        <v>46194.666666666657</v>
      </c>
      <c r="E38" s="67" t="s">
        <v>50</v>
      </c>
      <c r="F38" s="67" t="s">
        <v>57</v>
      </c>
      <c r="G38" s="67" t="s">
        <v>52</v>
      </c>
      <c r="H38" s="67">
        <v>0</v>
      </c>
      <c r="I38" s="67">
        <v>0</v>
      </c>
      <c r="J38" s="67"/>
      <c r="K38" s="67"/>
      <c r="L38" s="67"/>
      <c r="M38" s="67"/>
      <c r="N38" s="67"/>
      <c r="O38" s="67"/>
      <c r="P38" s="67"/>
      <c r="Q38" s="67"/>
      <c r="R38" s="67"/>
      <c r="S38" s="67"/>
      <c r="T38" s="67"/>
      <c r="U38" s="67"/>
      <c r="V38" s="67"/>
      <c r="W38" s="67"/>
      <c r="X38" s="67"/>
      <c r="Y38" s="67"/>
      <c r="Z38" s="67"/>
    </row>
    <row r="39" spans="1:26" ht="15" customHeight="1">
      <c r="A39" s="67">
        <v>38</v>
      </c>
      <c r="B39" s="67" t="s">
        <v>153</v>
      </c>
      <c r="C39" s="67" t="s">
        <v>98</v>
      </c>
      <c r="D39" s="128">
        <v>46194.791666666657</v>
      </c>
      <c r="E39" s="67" t="s">
        <v>54</v>
      </c>
      <c r="F39" s="67" t="s">
        <v>60</v>
      </c>
      <c r="G39" s="67" t="s">
        <v>21</v>
      </c>
      <c r="H39" s="67">
        <v>1</v>
      </c>
      <c r="I39" s="67">
        <v>0</v>
      </c>
      <c r="J39" s="67"/>
      <c r="K39" s="67"/>
      <c r="L39" s="67"/>
      <c r="M39" s="67"/>
      <c r="N39" s="67"/>
      <c r="O39" s="67"/>
      <c r="P39" s="67"/>
      <c r="Q39" s="67"/>
      <c r="R39" s="67"/>
      <c r="S39" s="67"/>
      <c r="T39" s="67"/>
      <c r="U39" s="67"/>
      <c r="V39" s="67"/>
      <c r="W39" s="67"/>
      <c r="X39" s="67"/>
      <c r="Y39" s="67"/>
      <c r="Z39" s="67"/>
    </row>
    <row r="40" spans="1:26" ht="15" customHeight="1">
      <c r="A40" s="67">
        <v>39</v>
      </c>
      <c r="B40" s="67" t="s">
        <v>153</v>
      </c>
      <c r="C40" s="67" t="s">
        <v>99</v>
      </c>
      <c r="D40" s="128">
        <v>46194.916666666657</v>
      </c>
      <c r="E40" s="67" t="s">
        <v>58</v>
      </c>
      <c r="F40" s="67" t="s">
        <v>51</v>
      </c>
      <c r="G40" s="67" t="s">
        <v>59</v>
      </c>
      <c r="H40" s="67">
        <v>0</v>
      </c>
      <c r="I40" s="67">
        <v>0</v>
      </c>
      <c r="J40" s="67"/>
      <c r="K40" s="67"/>
      <c r="L40" s="67"/>
      <c r="M40" s="67"/>
      <c r="N40" s="67"/>
      <c r="O40" s="67"/>
      <c r="P40" s="67"/>
      <c r="Q40" s="67"/>
      <c r="R40" s="67"/>
      <c r="S40" s="67"/>
      <c r="T40" s="67"/>
      <c r="U40" s="67"/>
      <c r="V40" s="67"/>
      <c r="W40" s="67"/>
      <c r="X40" s="67"/>
      <c r="Y40" s="67"/>
      <c r="Z40" s="67"/>
    </row>
    <row r="41" spans="1:26" ht="15" customHeight="1">
      <c r="A41" s="67">
        <v>40</v>
      </c>
      <c r="B41" s="67" t="s">
        <v>153</v>
      </c>
      <c r="C41" s="67" t="s">
        <v>98</v>
      </c>
      <c r="D41" s="128">
        <v>46195.041666666657</v>
      </c>
      <c r="E41" s="67" t="s">
        <v>61</v>
      </c>
      <c r="F41" s="67" t="s">
        <v>55</v>
      </c>
      <c r="G41" s="67" t="s">
        <v>34</v>
      </c>
      <c r="H41" s="67">
        <v>1</v>
      </c>
      <c r="I41" s="67">
        <v>0</v>
      </c>
      <c r="J41" s="67"/>
      <c r="K41" s="67"/>
      <c r="L41" s="67"/>
      <c r="M41" s="67"/>
      <c r="N41" s="67"/>
      <c r="O41" s="67"/>
      <c r="P41" s="67"/>
      <c r="Q41" s="67"/>
      <c r="R41" s="67"/>
      <c r="S41" s="67"/>
      <c r="T41" s="67"/>
      <c r="U41" s="67"/>
      <c r="V41" s="67"/>
      <c r="W41" s="67"/>
      <c r="X41" s="67"/>
      <c r="Y41" s="67"/>
      <c r="Z41" s="67"/>
    </row>
    <row r="42" spans="1:26" ht="15" customHeight="1">
      <c r="A42" s="67">
        <v>41</v>
      </c>
      <c r="B42" s="67" t="s">
        <v>153</v>
      </c>
      <c r="C42" s="67" t="s">
        <v>101</v>
      </c>
      <c r="D42" s="128">
        <v>46195.708333333343</v>
      </c>
      <c r="E42" s="67" t="s">
        <v>68</v>
      </c>
      <c r="F42" s="67" t="s">
        <v>71</v>
      </c>
      <c r="G42" s="67" t="s">
        <v>42</v>
      </c>
      <c r="H42" s="67">
        <v>0</v>
      </c>
      <c r="I42" s="67">
        <v>0</v>
      </c>
      <c r="J42" s="67"/>
      <c r="K42" s="67"/>
      <c r="L42" s="67"/>
      <c r="M42" s="67"/>
      <c r="N42" s="67"/>
      <c r="O42" s="67"/>
      <c r="P42" s="67"/>
      <c r="Q42" s="67"/>
      <c r="R42" s="67"/>
      <c r="S42" s="67"/>
      <c r="T42" s="67"/>
      <c r="U42" s="67"/>
      <c r="V42" s="67"/>
      <c r="W42" s="67"/>
      <c r="X42" s="67"/>
      <c r="Y42" s="67"/>
      <c r="Z42" s="67"/>
    </row>
    <row r="43" spans="1:26" ht="15" customHeight="1">
      <c r="A43" s="67">
        <v>42</v>
      </c>
      <c r="B43" s="67" t="s">
        <v>153</v>
      </c>
      <c r="C43" s="67" t="s">
        <v>100</v>
      </c>
      <c r="D43" s="128">
        <v>46195.875</v>
      </c>
      <c r="E43" s="67" t="s">
        <v>63</v>
      </c>
      <c r="F43" s="67" t="s">
        <v>65</v>
      </c>
      <c r="G43" s="67" t="s">
        <v>45</v>
      </c>
      <c r="H43" s="67">
        <v>0</v>
      </c>
      <c r="I43" s="67">
        <v>0</v>
      </c>
      <c r="J43" s="67"/>
      <c r="K43" s="67"/>
      <c r="L43" s="67"/>
      <c r="M43" s="67"/>
      <c r="N43" s="67"/>
      <c r="O43" s="67"/>
      <c r="P43" s="67"/>
      <c r="Q43" s="67"/>
      <c r="R43" s="67"/>
      <c r="S43" s="67"/>
      <c r="T43" s="67"/>
      <c r="U43" s="67"/>
      <c r="V43" s="67"/>
      <c r="W43" s="67"/>
      <c r="X43" s="67"/>
      <c r="Y43" s="67"/>
      <c r="Z43" s="67"/>
    </row>
    <row r="44" spans="1:26" ht="15" customHeight="1">
      <c r="A44" s="67">
        <v>43</v>
      </c>
      <c r="B44" s="67" t="s">
        <v>153</v>
      </c>
      <c r="C44" s="67" t="s">
        <v>100</v>
      </c>
      <c r="D44" s="128">
        <v>46196</v>
      </c>
      <c r="E44" s="67" t="s">
        <v>66</v>
      </c>
      <c r="F44" s="67" t="s">
        <v>64</v>
      </c>
      <c r="G44" s="67" t="s">
        <v>28</v>
      </c>
      <c r="H44" s="67">
        <v>1</v>
      </c>
      <c r="I44" s="67">
        <v>0</v>
      </c>
      <c r="J44" s="67"/>
      <c r="K44" s="67"/>
      <c r="L44" s="67"/>
      <c r="M44" s="67"/>
      <c r="N44" s="67"/>
      <c r="O44" s="67"/>
      <c r="P44" s="67"/>
      <c r="Q44" s="67"/>
      <c r="R44" s="67"/>
      <c r="S44" s="67"/>
      <c r="T44" s="67"/>
      <c r="U44" s="67"/>
      <c r="V44" s="67"/>
      <c r="W44" s="67"/>
      <c r="X44" s="67"/>
      <c r="Y44" s="67"/>
      <c r="Z44" s="67"/>
    </row>
    <row r="45" spans="1:26" ht="15" customHeight="1">
      <c r="A45" s="67">
        <v>44</v>
      </c>
      <c r="B45" s="67" t="s">
        <v>153</v>
      </c>
      <c r="C45" s="67" t="s">
        <v>101</v>
      </c>
      <c r="D45" s="128">
        <v>46196.125</v>
      </c>
      <c r="E45" s="67" t="s">
        <v>72</v>
      </c>
      <c r="F45" s="67" t="s">
        <v>69</v>
      </c>
      <c r="G45" s="67" t="s">
        <v>24</v>
      </c>
      <c r="H45" s="67">
        <v>1</v>
      </c>
      <c r="I45" s="67">
        <v>0</v>
      </c>
      <c r="J45" s="67"/>
      <c r="K45" s="67"/>
      <c r="L45" s="67"/>
      <c r="M45" s="67"/>
      <c r="N45" s="67"/>
      <c r="O45" s="67"/>
      <c r="P45" s="67"/>
      <c r="Q45" s="67"/>
      <c r="R45" s="67"/>
      <c r="S45" s="67"/>
      <c r="T45" s="67"/>
      <c r="U45" s="67"/>
      <c r="V45" s="67"/>
      <c r="W45" s="67"/>
      <c r="X45" s="67"/>
      <c r="Y45" s="67"/>
      <c r="Z45" s="67"/>
    </row>
    <row r="46" spans="1:26" ht="15" customHeight="1">
      <c r="A46" s="67">
        <v>45</v>
      </c>
      <c r="B46" s="67" t="s">
        <v>153</v>
      </c>
      <c r="C46" s="67" t="s">
        <v>102</v>
      </c>
      <c r="D46" s="128">
        <v>46196.708333333343</v>
      </c>
      <c r="E46" s="67" t="s">
        <v>74</v>
      </c>
      <c r="F46" s="67" t="s">
        <v>81</v>
      </c>
      <c r="G46" s="67" t="s">
        <v>38</v>
      </c>
      <c r="H46" s="67">
        <v>1</v>
      </c>
      <c r="I46" s="67">
        <v>0</v>
      </c>
      <c r="J46" s="67"/>
      <c r="K46" s="67"/>
      <c r="L46" s="67"/>
      <c r="M46" s="67"/>
      <c r="N46" s="67"/>
      <c r="O46" s="67"/>
      <c r="P46" s="67"/>
      <c r="Q46" s="67"/>
      <c r="R46" s="67"/>
      <c r="S46" s="67"/>
      <c r="T46" s="67"/>
      <c r="U46" s="67"/>
      <c r="V46" s="67"/>
      <c r="W46" s="67"/>
      <c r="X46" s="67"/>
      <c r="Y46" s="67"/>
      <c r="Z46" s="67"/>
    </row>
    <row r="47" spans="1:26" ht="15" customHeight="1">
      <c r="A47" s="67">
        <v>46</v>
      </c>
      <c r="B47" s="67" t="s">
        <v>153</v>
      </c>
      <c r="C47" s="67" t="s">
        <v>103</v>
      </c>
      <c r="D47" s="128">
        <v>46196.833333333343</v>
      </c>
      <c r="E47" s="67" t="s">
        <v>77</v>
      </c>
      <c r="F47" s="67" t="s">
        <v>79</v>
      </c>
      <c r="G47" s="67" t="s">
        <v>31</v>
      </c>
      <c r="H47" s="67">
        <v>0</v>
      </c>
      <c r="I47" s="67">
        <v>0</v>
      </c>
      <c r="J47" s="67"/>
      <c r="K47" s="67"/>
      <c r="L47" s="67"/>
      <c r="M47" s="67"/>
      <c r="N47" s="67"/>
      <c r="O47" s="67"/>
      <c r="P47" s="67"/>
      <c r="Q47" s="67"/>
      <c r="R47" s="67"/>
      <c r="S47" s="67"/>
      <c r="T47" s="67"/>
      <c r="U47" s="67"/>
      <c r="V47" s="67"/>
      <c r="W47" s="67"/>
      <c r="X47" s="67"/>
      <c r="Y47" s="67"/>
      <c r="Z47" s="67"/>
    </row>
    <row r="48" spans="1:26" ht="15" customHeight="1">
      <c r="A48" s="67">
        <v>47</v>
      </c>
      <c r="B48" s="67" t="s">
        <v>153</v>
      </c>
      <c r="C48" s="67" t="s">
        <v>103</v>
      </c>
      <c r="D48" s="128">
        <v>46196.958333333343</v>
      </c>
      <c r="E48" s="67" t="s">
        <v>80</v>
      </c>
      <c r="F48" s="67" t="s">
        <v>78</v>
      </c>
      <c r="G48" s="67" t="s">
        <v>17</v>
      </c>
      <c r="H48" s="67">
        <v>0</v>
      </c>
      <c r="I48" s="67">
        <v>0</v>
      </c>
      <c r="J48" s="67"/>
      <c r="K48" s="67"/>
      <c r="L48" s="67"/>
      <c r="M48" s="67"/>
      <c r="N48" s="67"/>
      <c r="O48" s="67"/>
      <c r="P48" s="67"/>
      <c r="Q48" s="67"/>
      <c r="R48" s="67"/>
      <c r="S48" s="67"/>
      <c r="T48" s="67"/>
      <c r="U48" s="67"/>
      <c r="V48" s="67"/>
      <c r="W48" s="67"/>
      <c r="X48" s="67"/>
      <c r="Y48" s="67"/>
      <c r="Z48" s="67"/>
    </row>
    <row r="49" spans="1:26" ht="15" customHeight="1">
      <c r="A49" s="67">
        <v>48</v>
      </c>
      <c r="B49" s="67" t="s">
        <v>153</v>
      </c>
      <c r="C49" s="67" t="s">
        <v>102</v>
      </c>
      <c r="D49" s="128">
        <v>46197.083333333343</v>
      </c>
      <c r="E49" s="67" t="s">
        <v>82</v>
      </c>
      <c r="F49" s="67" t="s">
        <v>75</v>
      </c>
      <c r="G49" s="67" t="s">
        <v>13</v>
      </c>
      <c r="H49" s="67">
        <v>1</v>
      </c>
      <c r="I49" s="67">
        <v>0</v>
      </c>
      <c r="J49" s="67"/>
      <c r="K49" s="67"/>
      <c r="L49" s="67"/>
      <c r="M49" s="67"/>
      <c r="N49" s="67"/>
      <c r="O49" s="67"/>
      <c r="P49" s="67"/>
      <c r="Q49" s="67"/>
      <c r="R49" s="67"/>
      <c r="S49" s="67"/>
      <c r="T49" s="67"/>
      <c r="U49" s="67"/>
      <c r="V49" s="67"/>
      <c r="W49" s="67"/>
      <c r="X49" s="67"/>
      <c r="Y49" s="67"/>
      <c r="Z49" s="67"/>
    </row>
    <row r="50" spans="1:26" ht="15" customHeight="1">
      <c r="A50" s="67">
        <v>49</v>
      </c>
      <c r="B50" s="67" t="s">
        <v>153</v>
      </c>
      <c r="C50" s="67" t="s">
        <v>93</v>
      </c>
      <c r="D50" s="128">
        <v>46197.791666666657</v>
      </c>
      <c r="E50" s="67" t="s">
        <v>23</v>
      </c>
      <c r="F50" s="67" t="s">
        <v>15</v>
      </c>
      <c r="G50" s="67" t="s">
        <v>34</v>
      </c>
      <c r="H50" s="67">
        <v>1</v>
      </c>
      <c r="I50" s="67">
        <v>0</v>
      </c>
      <c r="J50" s="67"/>
      <c r="K50" s="67"/>
      <c r="L50" s="67"/>
      <c r="M50" s="67"/>
      <c r="N50" s="67"/>
      <c r="O50" s="67"/>
      <c r="P50" s="67"/>
      <c r="Q50" s="67"/>
      <c r="R50" s="67"/>
      <c r="S50" s="67"/>
      <c r="T50" s="67"/>
      <c r="U50" s="67"/>
      <c r="V50" s="67"/>
      <c r="W50" s="67"/>
      <c r="X50" s="67"/>
      <c r="Y50" s="67"/>
      <c r="Z50" s="67"/>
    </row>
    <row r="51" spans="1:26" ht="15" customHeight="1">
      <c r="A51" s="67">
        <v>50</v>
      </c>
      <c r="B51" s="67" t="s">
        <v>153</v>
      </c>
      <c r="C51" s="67" t="s">
        <v>93</v>
      </c>
      <c r="D51" s="128">
        <v>46197.791666666657</v>
      </c>
      <c r="E51" s="67" t="s">
        <v>16</v>
      </c>
      <c r="F51" s="67" t="s">
        <v>22</v>
      </c>
      <c r="G51" s="67" t="s">
        <v>56</v>
      </c>
      <c r="H51" s="67">
        <v>1</v>
      </c>
      <c r="I51" s="67">
        <v>0</v>
      </c>
      <c r="J51" s="67"/>
      <c r="K51" s="67"/>
      <c r="L51" s="67"/>
      <c r="M51" s="67"/>
      <c r="N51" s="67"/>
      <c r="O51" s="67"/>
      <c r="P51" s="67"/>
      <c r="Q51" s="67"/>
      <c r="R51" s="67"/>
      <c r="S51" s="67"/>
      <c r="T51" s="67"/>
      <c r="U51" s="67"/>
      <c r="V51" s="67"/>
      <c r="W51" s="67"/>
      <c r="X51" s="67"/>
      <c r="Y51" s="67"/>
      <c r="Z51" s="67"/>
    </row>
    <row r="52" spans="1:26" ht="15" customHeight="1">
      <c r="A52" s="67">
        <v>51</v>
      </c>
      <c r="B52" s="67" t="s">
        <v>153</v>
      </c>
      <c r="C52" s="67" t="s">
        <v>94</v>
      </c>
      <c r="D52" s="128">
        <v>46197.916666666657</v>
      </c>
      <c r="E52" s="67" t="s">
        <v>30</v>
      </c>
      <c r="F52" s="67" t="s">
        <v>26</v>
      </c>
      <c r="G52" s="67" t="s">
        <v>59</v>
      </c>
      <c r="H52" s="67">
        <v>0</v>
      </c>
      <c r="I52" s="67">
        <v>0</v>
      </c>
      <c r="J52" s="67"/>
      <c r="K52" s="67"/>
      <c r="L52" s="67"/>
      <c r="M52" s="67"/>
      <c r="N52" s="67"/>
      <c r="O52" s="67"/>
      <c r="P52" s="67"/>
      <c r="Q52" s="67"/>
      <c r="R52" s="67"/>
      <c r="S52" s="67"/>
      <c r="T52" s="67"/>
      <c r="U52" s="67"/>
      <c r="V52" s="67"/>
      <c r="W52" s="67"/>
      <c r="X52" s="67"/>
      <c r="Y52" s="67"/>
      <c r="Z52" s="67"/>
    </row>
    <row r="53" spans="1:26" ht="15" customHeight="1">
      <c r="A53" s="67">
        <v>52</v>
      </c>
      <c r="B53" s="67" t="s">
        <v>153</v>
      </c>
      <c r="C53" s="67" t="s">
        <v>94</v>
      </c>
      <c r="D53" s="128">
        <v>46197.916666666657</v>
      </c>
      <c r="E53" s="67" t="s">
        <v>27</v>
      </c>
      <c r="F53" s="67" t="s">
        <v>29</v>
      </c>
      <c r="G53" s="67" t="s">
        <v>52</v>
      </c>
      <c r="H53" s="67">
        <v>0</v>
      </c>
      <c r="I53" s="67">
        <v>0</v>
      </c>
      <c r="J53" s="67"/>
      <c r="K53" s="67"/>
      <c r="L53" s="67"/>
      <c r="M53" s="67"/>
      <c r="N53" s="67"/>
      <c r="O53" s="67"/>
      <c r="P53" s="67"/>
      <c r="Q53" s="67"/>
      <c r="R53" s="67"/>
      <c r="S53" s="67"/>
      <c r="T53" s="67"/>
      <c r="U53" s="67"/>
      <c r="V53" s="67"/>
      <c r="W53" s="67"/>
      <c r="X53" s="67"/>
      <c r="Y53" s="67"/>
      <c r="Z53" s="67"/>
    </row>
    <row r="54" spans="1:26" ht="15" customHeight="1">
      <c r="A54" s="67">
        <v>53</v>
      </c>
      <c r="B54" s="67" t="s">
        <v>153</v>
      </c>
      <c r="C54" s="67" t="s">
        <v>92</v>
      </c>
      <c r="D54" s="128">
        <v>46198.041666666657</v>
      </c>
      <c r="E54" s="67" t="s">
        <v>12</v>
      </c>
      <c r="F54" s="67" t="s">
        <v>8</v>
      </c>
      <c r="G54" s="67" t="s">
        <v>10</v>
      </c>
      <c r="H54" s="67">
        <v>0</v>
      </c>
      <c r="I54" s="67">
        <v>0</v>
      </c>
      <c r="J54" s="67"/>
      <c r="K54" s="67"/>
      <c r="L54" s="67"/>
      <c r="M54" s="67"/>
      <c r="N54" s="67"/>
      <c r="O54" s="67"/>
      <c r="P54" s="67"/>
      <c r="Q54" s="67"/>
      <c r="R54" s="67"/>
      <c r="S54" s="67"/>
      <c r="T54" s="67"/>
      <c r="U54" s="67"/>
      <c r="V54" s="67"/>
      <c r="W54" s="67"/>
      <c r="X54" s="67"/>
      <c r="Y54" s="67"/>
      <c r="Z54" s="67"/>
    </row>
    <row r="55" spans="1:26" ht="15" customHeight="1">
      <c r="A55" s="67">
        <v>54</v>
      </c>
      <c r="B55" s="67" t="s">
        <v>153</v>
      </c>
      <c r="C55" s="67" t="s">
        <v>92</v>
      </c>
      <c r="D55" s="128">
        <v>46198.041666666657</v>
      </c>
      <c r="E55" s="67" t="s">
        <v>9</v>
      </c>
      <c r="F55" s="67" t="s">
        <v>11</v>
      </c>
      <c r="G55" s="67" t="s">
        <v>48</v>
      </c>
      <c r="H55" s="67">
        <v>0</v>
      </c>
      <c r="I55" s="67">
        <v>0</v>
      </c>
      <c r="J55" s="67"/>
      <c r="K55" s="67"/>
      <c r="L55" s="67"/>
      <c r="M55" s="67"/>
      <c r="N55" s="67"/>
      <c r="O55" s="67"/>
      <c r="P55" s="67"/>
      <c r="Q55" s="67"/>
      <c r="R55" s="67"/>
      <c r="S55" s="67"/>
      <c r="T55" s="67"/>
      <c r="U55" s="67"/>
      <c r="V55" s="67"/>
      <c r="W55" s="67"/>
      <c r="X55" s="67"/>
      <c r="Y55" s="67"/>
      <c r="Z55" s="67"/>
    </row>
    <row r="56" spans="1:26" ht="15" customHeight="1">
      <c r="A56" s="67">
        <v>55</v>
      </c>
      <c r="B56" s="67" t="s">
        <v>153</v>
      </c>
      <c r="C56" s="67" t="s">
        <v>96</v>
      </c>
      <c r="D56" s="128">
        <v>46198.833333333343</v>
      </c>
      <c r="E56" s="67" t="s">
        <v>37</v>
      </c>
      <c r="F56" s="67" t="s">
        <v>43</v>
      </c>
      <c r="G56" s="67" t="s">
        <v>45</v>
      </c>
      <c r="H56" s="67">
        <v>0</v>
      </c>
      <c r="I56" s="67">
        <v>0</v>
      </c>
      <c r="J56" s="67"/>
      <c r="K56" s="67"/>
      <c r="L56" s="67"/>
      <c r="M56" s="67"/>
      <c r="N56" s="67"/>
      <c r="O56" s="67"/>
      <c r="P56" s="67"/>
      <c r="Q56" s="67"/>
      <c r="R56" s="67"/>
      <c r="S56" s="67"/>
      <c r="T56" s="67"/>
      <c r="U56" s="67"/>
      <c r="V56" s="67"/>
      <c r="W56" s="67"/>
      <c r="X56" s="67"/>
      <c r="Y56" s="67"/>
      <c r="Z56" s="67"/>
    </row>
    <row r="57" spans="1:26" ht="15" customHeight="1">
      <c r="A57" s="67">
        <v>56</v>
      </c>
      <c r="B57" s="67" t="s">
        <v>153</v>
      </c>
      <c r="C57" s="67" t="s">
        <v>96</v>
      </c>
      <c r="D57" s="128">
        <v>46198.833333333343</v>
      </c>
      <c r="E57" s="67" t="s">
        <v>44</v>
      </c>
      <c r="F57" s="67" t="s">
        <v>36</v>
      </c>
      <c r="G57" s="67" t="s">
        <v>28</v>
      </c>
      <c r="H57" s="67">
        <v>0</v>
      </c>
      <c r="I57" s="67">
        <v>0</v>
      </c>
      <c r="J57" s="67"/>
      <c r="K57" s="67"/>
      <c r="L57" s="67"/>
      <c r="M57" s="67"/>
      <c r="N57" s="67"/>
      <c r="O57" s="67"/>
      <c r="P57" s="67"/>
      <c r="Q57" s="67"/>
      <c r="R57" s="67"/>
      <c r="S57" s="67"/>
      <c r="T57" s="67"/>
      <c r="U57" s="67"/>
      <c r="V57" s="67"/>
      <c r="W57" s="67"/>
      <c r="X57" s="67"/>
      <c r="Y57" s="67"/>
      <c r="Z57" s="67"/>
    </row>
    <row r="58" spans="1:26" ht="15" customHeight="1">
      <c r="A58" s="67">
        <v>57</v>
      </c>
      <c r="B58" s="67" t="s">
        <v>153</v>
      </c>
      <c r="C58" s="67" t="s">
        <v>97</v>
      </c>
      <c r="D58" s="128">
        <v>46198.958333333343</v>
      </c>
      <c r="E58" s="67" t="s">
        <v>41</v>
      </c>
      <c r="F58" s="67" t="s">
        <v>46</v>
      </c>
      <c r="G58" s="67" t="s">
        <v>42</v>
      </c>
      <c r="H58" s="67">
        <v>0</v>
      </c>
      <c r="I58" s="67">
        <v>0</v>
      </c>
      <c r="J58" s="67"/>
      <c r="K58" s="67"/>
      <c r="L58" s="67"/>
      <c r="M58" s="67"/>
      <c r="N58" s="67"/>
      <c r="O58" s="67"/>
      <c r="P58" s="67"/>
      <c r="Q58" s="67"/>
      <c r="R58" s="67"/>
      <c r="S58" s="67"/>
      <c r="T58" s="67"/>
      <c r="U58" s="67"/>
      <c r="V58" s="67"/>
      <c r="W58" s="67"/>
      <c r="X58" s="67"/>
      <c r="Y58" s="67"/>
      <c r="Z58" s="67"/>
    </row>
    <row r="59" spans="1:26" ht="15" customHeight="1">
      <c r="A59" s="67">
        <v>58</v>
      </c>
      <c r="B59" s="67" t="s">
        <v>153</v>
      </c>
      <c r="C59" s="67" t="s">
        <v>97</v>
      </c>
      <c r="D59" s="128">
        <v>46198.958333333343</v>
      </c>
      <c r="E59" s="67" t="s">
        <v>47</v>
      </c>
      <c r="F59" s="67" t="s">
        <v>40</v>
      </c>
      <c r="G59" s="67" t="s">
        <v>70</v>
      </c>
      <c r="H59" s="67">
        <v>0</v>
      </c>
      <c r="I59" s="67">
        <v>0</v>
      </c>
      <c r="J59" s="67"/>
      <c r="K59" s="67"/>
      <c r="L59" s="67"/>
      <c r="M59" s="67"/>
      <c r="N59" s="67"/>
      <c r="O59" s="67"/>
      <c r="P59" s="67"/>
      <c r="Q59" s="67"/>
      <c r="R59" s="67"/>
      <c r="S59" s="67"/>
      <c r="T59" s="67"/>
      <c r="U59" s="67"/>
      <c r="V59" s="67"/>
      <c r="W59" s="67"/>
      <c r="X59" s="67"/>
      <c r="Y59" s="67"/>
      <c r="Z59" s="67"/>
    </row>
    <row r="60" spans="1:26" ht="15" customHeight="1">
      <c r="A60" s="67">
        <v>59</v>
      </c>
      <c r="B60" s="67" t="s">
        <v>153</v>
      </c>
      <c r="C60" s="67" t="s">
        <v>95</v>
      </c>
      <c r="D60" s="128">
        <v>46199.083333333343</v>
      </c>
      <c r="E60" s="67" t="s">
        <v>33</v>
      </c>
      <c r="F60" s="67" t="s">
        <v>19</v>
      </c>
      <c r="G60" s="67" t="s">
        <v>21</v>
      </c>
      <c r="H60" s="67">
        <v>1</v>
      </c>
      <c r="I60" s="67">
        <v>0</v>
      </c>
      <c r="J60" s="67"/>
      <c r="K60" s="67"/>
      <c r="L60" s="67"/>
      <c r="M60" s="67"/>
      <c r="N60" s="67"/>
      <c r="O60" s="67"/>
      <c r="P60" s="67"/>
      <c r="Q60" s="67"/>
      <c r="R60" s="67"/>
      <c r="S60" s="67"/>
      <c r="T60" s="67"/>
      <c r="U60" s="67"/>
      <c r="V60" s="67"/>
      <c r="W60" s="67"/>
      <c r="X60" s="67"/>
      <c r="Y60" s="67"/>
      <c r="Z60" s="67"/>
    </row>
    <row r="61" spans="1:26" ht="15" customHeight="1">
      <c r="A61" s="67">
        <v>60</v>
      </c>
      <c r="B61" s="67" t="s">
        <v>153</v>
      </c>
      <c r="C61" s="67" t="s">
        <v>95</v>
      </c>
      <c r="D61" s="128">
        <v>46199.083333333343</v>
      </c>
      <c r="E61" s="67" t="s">
        <v>20</v>
      </c>
      <c r="F61" s="67" t="s">
        <v>32</v>
      </c>
      <c r="G61" s="67" t="s">
        <v>24</v>
      </c>
      <c r="H61" s="67">
        <v>1</v>
      </c>
      <c r="I61" s="67">
        <v>0</v>
      </c>
      <c r="J61" s="67"/>
      <c r="K61" s="67"/>
      <c r="L61" s="67"/>
      <c r="M61" s="67"/>
      <c r="N61" s="67"/>
      <c r="O61" s="67"/>
      <c r="P61" s="67"/>
      <c r="Q61" s="67"/>
      <c r="R61" s="67"/>
      <c r="S61" s="67"/>
      <c r="T61" s="67"/>
      <c r="U61" s="67"/>
      <c r="V61" s="67"/>
      <c r="W61" s="67"/>
      <c r="X61" s="67"/>
      <c r="Y61" s="67"/>
      <c r="Z61" s="67"/>
    </row>
    <row r="62" spans="1:26" ht="15" customHeight="1">
      <c r="A62" s="67">
        <v>61</v>
      </c>
      <c r="B62" s="67" t="s">
        <v>153</v>
      </c>
      <c r="C62" s="67" t="s">
        <v>100</v>
      </c>
      <c r="D62" s="128">
        <v>46199.791666666657</v>
      </c>
      <c r="E62" s="67" t="s">
        <v>66</v>
      </c>
      <c r="F62" s="67" t="s">
        <v>63</v>
      </c>
      <c r="G62" s="67" t="s">
        <v>31</v>
      </c>
      <c r="H62" s="67">
        <v>1</v>
      </c>
      <c r="I62" s="67">
        <v>0</v>
      </c>
      <c r="J62" s="67"/>
      <c r="K62" s="67"/>
      <c r="L62" s="67"/>
      <c r="M62" s="67"/>
      <c r="N62" s="67"/>
      <c r="O62" s="67"/>
      <c r="P62" s="67"/>
      <c r="Q62" s="67"/>
      <c r="R62" s="67"/>
      <c r="S62" s="67"/>
      <c r="T62" s="67"/>
      <c r="U62" s="67"/>
      <c r="V62" s="67"/>
      <c r="W62" s="67"/>
      <c r="X62" s="67"/>
      <c r="Y62" s="67"/>
      <c r="Z62" s="67"/>
    </row>
    <row r="63" spans="1:26" ht="15" customHeight="1">
      <c r="A63" s="67">
        <v>62</v>
      </c>
      <c r="B63" s="67" t="s">
        <v>153</v>
      </c>
      <c r="C63" s="67" t="s">
        <v>100</v>
      </c>
      <c r="D63" s="128">
        <v>46199.791666666657</v>
      </c>
      <c r="E63" s="67" t="s">
        <v>64</v>
      </c>
      <c r="F63" s="67" t="s">
        <v>65</v>
      </c>
      <c r="G63" s="67" t="s">
        <v>17</v>
      </c>
      <c r="H63" s="67">
        <v>1</v>
      </c>
      <c r="I63" s="67">
        <v>0</v>
      </c>
      <c r="J63" s="67"/>
      <c r="K63" s="67"/>
      <c r="L63" s="67"/>
      <c r="M63" s="67"/>
      <c r="N63" s="67"/>
      <c r="O63" s="67"/>
      <c r="P63" s="67"/>
      <c r="Q63" s="67"/>
      <c r="R63" s="67"/>
      <c r="S63" s="67"/>
      <c r="T63" s="67"/>
      <c r="U63" s="67"/>
      <c r="V63" s="67"/>
      <c r="W63" s="67"/>
      <c r="X63" s="67"/>
      <c r="Y63" s="67"/>
      <c r="Z63" s="67"/>
    </row>
    <row r="64" spans="1:26" ht="15" customHeight="1">
      <c r="A64" s="67">
        <v>63</v>
      </c>
      <c r="B64" s="67" t="s">
        <v>153</v>
      </c>
      <c r="C64" s="67" t="s">
        <v>99</v>
      </c>
      <c r="D64" s="128">
        <v>46200</v>
      </c>
      <c r="E64" s="67" t="s">
        <v>51</v>
      </c>
      <c r="F64" s="67" t="s">
        <v>57</v>
      </c>
      <c r="G64" s="67" t="s">
        <v>38</v>
      </c>
      <c r="H64" s="67">
        <v>1</v>
      </c>
      <c r="I64" s="67">
        <v>0</v>
      </c>
      <c r="J64" s="67"/>
      <c r="K64" s="67"/>
      <c r="L64" s="67"/>
      <c r="M64" s="67"/>
      <c r="N64" s="67"/>
      <c r="O64" s="67"/>
      <c r="P64" s="67"/>
      <c r="Q64" s="67"/>
      <c r="R64" s="67"/>
      <c r="S64" s="67"/>
      <c r="T64" s="67"/>
      <c r="U64" s="67"/>
      <c r="V64" s="67"/>
      <c r="W64" s="67"/>
      <c r="X64" s="67"/>
      <c r="Y64" s="67"/>
      <c r="Z64" s="67"/>
    </row>
    <row r="65" spans="1:26" ht="15" customHeight="1">
      <c r="A65" s="67">
        <v>64</v>
      </c>
      <c r="B65" s="67" t="s">
        <v>153</v>
      </c>
      <c r="C65" s="67" t="s">
        <v>99</v>
      </c>
      <c r="D65" s="128">
        <v>46200</v>
      </c>
      <c r="E65" s="67" t="s">
        <v>58</v>
      </c>
      <c r="F65" s="67" t="s">
        <v>50</v>
      </c>
      <c r="G65" s="67" t="s">
        <v>13</v>
      </c>
      <c r="H65" s="67">
        <v>1</v>
      </c>
      <c r="I65" s="67">
        <v>0</v>
      </c>
      <c r="J65" s="67"/>
      <c r="K65" s="67"/>
      <c r="L65" s="67"/>
      <c r="M65" s="67"/>
      <c r="N65" s="67"/>
      <c r="O65" s="67"/>
      <c r="P65" s="67"/>
      <c r="Q65" s="67"/>
      <c r="R65" s="67"/>
      <c r="S65" s="67"/>
      <c r="T65" s="67"/>
      <c r="U65" s="67"/>
      <c r="V65" s="67"/>
      <c r="W65" s="67"/>
      <c r="X65" s="67"/>
      <c r="Y65" s="67"/>
      <c r="Z65" s="67"/>
    </row>
    <row r="66" spans="1:26" ht="15" customHeight="1">
      <c r="A66" s="67">
        <v>65</v>
      </c>
      <c r="B66" s="67" t="s">
        <v>153</v>
      </c>
      <c r="C66" s="67" t="s">
        <v>98</v>
      </c>
      <c r="D66" s="128">
        <v>46200.125</v>
      </c>
      <c r="E66" s="67" t="s">
        <v>55</v>
      </c>
      <c r="F66" s="67" t="s">
        <v>60</v>
      </c>
      <c r="G66" s="67" t="s">
        <v>56</v>
      </c>
      <c r="H66" s="67">
        <v>0</v>
      </c>
      <c r="I66" s="67">
        <v>0</v>
      </c>
      <c r="J66" s="67"/>
      <c r="K66" s="67"/>
      <c r="L66" s="67"/>
      <c r="M66" s="67"/>
      <c r="N66" s="67"/>
      <c r="O66" s="67"/>
      <c r="P66" s="67"/>
      <c r="Q66" s="67"/>
      <c r="R66" s="67"/>
      <c r="S66" s="67"/>
      <c r="T66" s="67"/>
      <c r="U66" s="67"/>
      <c r="V66" s="67"/>
      <c r="W66" s="67"/>
      <c r="X66" s="67"/>
      <c r="Y66" s="67"/>
      <c r="Z66" s="67"/>
    </row>
    <row r="67" spans="1:26" ht="15" customHeight="1">
      <c r="A67" s="67">
        <v>66</v>
      </c>
      <c r="B67" s="67" t="s">
        <v>153</v>
      </c>
      <c r="C67" s="67" t="s">
        <v>98</v>
      </c>
      <c r="D67" s="128">
        <v>46200.125</v>
      </c>
      <c r="E67" s="67" t="s">
        <v>61</v>
      </c>
      <c r="F67" s="67" t="s">
        <v>54</v>
      </c>
      <c r="G67" s="67" t="s">
        <v>34</v>
      </c>
      <c r="H67" s="67">
        <v>0</v>
      </c>
      <c r="I67" s="67">
        <v>0</v>
      </c>
      <c r="J67" s="67"/>
      <c r="K67" s="67"/>
      <c r="L67" s="67"/>
      <c r="M67" s="67"/>
      <c r="N67" s="67"/>
      <c r="O67" s="67"/>
      <c r="P67" s="67"/>
      <c r="Q67" s="67"/>
      <c r="R67" s="67"/>
      <c r="S67" s="67"/>
      <c r="T67" s="67"/>
      <c r="U67" s="67"/>
      <c r="V67" s="67"/>
      <c r="W67" s="67"/>
      <c r="X67" s="67"/>
      <c r="Y67" s="67"/>
      <c r="Z67" s="67"/>
    </row>
    <row r="68" spans="1:26" ht="15" customHeight="1">
      <c r="A68" s="67">
        <v>67</v>
      </c>
      <c r="B68" s="67" t="s">
        <v>153</v>
      </c>
      <c r="C68" s="67" t="s">
        <v>103</v>
      </c>
      <c r="D68" s="128">
        <v>46200.875</v>
      </c>
      <c r="E68" s="67" t="s">
        <v>80</v>
      </c>
      <c r="F68" s="67" t="s">
        <v>77</v>
      </c>
      <c r="G68" s="67" t="s">
        <v>28</v>
      </c>
      <c r="H68" s="67">
        <v>1</v>
      </c>
      <c r="I68" s="67">
        <v>0</v>
      </c>
      <c r="J68" s="67"/>
      <c r="K68" s="67"/>
      <c r="L68" s="67"/>
      <c r="M68" s="67"/>
      <c r="N68" s="67"/>
      <c r="O68" s="67"/>
      <c r="P68" s="67"/>
      <c r="Q68" s="67"/>
      <c r="R68" s="67"/>
      <c r="S68" s="67"/>
      <c r="T68" s="67"/>
      <c r="U68" s="67"/>
      <c r="V68" s="67"/>
      <c r="W68" s="67"/>
      <c r="X68" s="67"/>
      <c r="Y68" s="67"/>
      <c r="Z68" s="67"/>
    </row>
    <row r="69" spans="1:26" ht="15" customHeight="1">
      <c r="A69" s="67">
        <v>68</v>
      </c>
      <c r="B69" s="67" t="s">
        <v>153</v>
      </c>
      <c r="C69" s="67" t="s">
        <v>103</v>
      </c>
      <c r="D69" s="128">
        <v>46200.875</v>
      </c>
      <c r="E69" s="67" t="s">
        <v>78</v>
      </c>
      <c r="F69" s="67" t="s">
        <v>79</v>
      </c>
      <c r="G69" s="67" t="s">
        <v>45</v>
      </c>
      <c r="H69" s="67">
        <v>1</v>
      </c>
      <c r="I69" s="67">
        <v>0</v>
      </c>
      <c r="J69" s="67"/>
      <c r="K69" s="67"/>
      <c r="L69" s="67"/>
      <c r="M69" s="67"/>
      <c r="N69" s="67"/>
      <c r="O69" s="67"/>
      <c r="P69" s="67"/>
      <c r="Q69" s="67"/>
      <c r="R69" s="67"/>
      <c r="S69" s="67"/>
      <c r="T69" s="67"/>
      <c r="U69" s="67"/>
      <c r="V69" s="67"/>
      <c r="W69" s="67"/>
      <c r="X69" s="67"/>
      <c r="Y69" s="67"/>
      <c r="Z69" s="67"/>
    </row>
    <row r="70" spans="1:26" ht="15" customHeight="1">
      <c r="A70" s="67">
        <v>69</v>
      </c>
      <c r="B70" s="67" t="s">
        <v>153</v>
      </c>
      <c r="C70" s="67" t="s">
        <v>102</v>
      </c>
      <c r="D70" s="128">
        <v>46200.979166666657</v>
      </c>
      <c r="E70" s="67" t="s">
        <v>82</v>
      </c>
      <c r="F70" s="67" t="s">
        <v>74</v>
      </c>
      <c r="G70" s="67" t="s">
        <v>59</v>
      </c>
      <c r="H70" s="67">
        <v>0</v>
      </c>
      <c r="I70" s="67">
        <v>0</v>
      </c>
      <c r="J70" s="67"/>
      <c r="K70" s="67"/>
      <c r="L70" s="67"/>
      <c r="M70" s="67"/>
      <c r="N70" s="67"/>
      <c r="O70" s="67"/>
      <c r="P70" s="67"/>
      <c r="Q70" s="67"/>
      <c r="R70" s="67"/>
      <c r="S70" s="67"/>
      <c r="T70" s="67"/>
      <c r="U70" s="67"/>
      <c r="V70" s="67"/>
      <c r="W70" s="67"/>
      <c r="X70" s="67"/>
      <c r="Y70" s="67"/>
      <c r="Z70" s="67"/>
    </row>
    <row r="71" spans="1:26" ht="15" customHeight="1">
      <c r="A71" s="67">
        <v>70</v>
      </c>
      <c r="B71" s="67" t="s">
        <v>153</v>
      </c>
      <c r="C71" s="67" t="s">
        <v>102</v>
      </c>
      <c r="D71" s="128">
        <v>46200.979166666657</v>
      </c>
      <c r="E71" s="67" t="s">
        <v>75</v>
      </c>
      <c r="F71" s="67" t="s">
        <v>81</v>
      </c>
      <c r="G71" s="67" t="s">
        <v>52</v>
      </c>
      <c r="H71" s="67">
        <v>0</v>
      </c>
      <c r="I71" s="67">
        <v>0</v>
      </c>
      <c r="J71" s="67"/>
      <c r="K71" s="67"/>
      <c r="L71" s="67"/>
      <c r="M71" s="67"/>
      <c r="N71" s="67"/>
      <c r="O71" s="67"/>
      <c r="P71" s="67"/>
      <c r="Q71" s="67"/>
      <c r="R71" s="67"/>
      <c r="S71" s="67"/>
      <c r="T71" s="67"/>
      <c r="U71" s="67"/>
      <c r="V71" s="67"/>
      <c r="W71" s="67"/>
      <c r="X71" s="67"/>
      <c r="Y71" s="67"/>
      <c r="Z71" s="67"/>
    </row>
    <row r="72" spans="1:26" ht="15" customHeight="1">
      <c r="A72" s="67">
        <v>71</v>
      </c>
      <c r="B72" s="67" t="s">
        <v>153</v>
      </c>
      <c r="C72" s="67" t="s">
        <v>101</v>
      </c>
      <c r="D72" s="128">
        <v>46201.083333333343</v>
      </c>
      <c r="E72" s="67" t="s">
        <v>69</v>
      </c>
      <c r="F72" s="67" t="s">
        <v>71</v>
      </c>
      <c r="G72" s="67" t="s">
        <v>70</v>
      </c>
      <c r="H72" s="67">
        <v>0</v>
      </c>
      <c r="I72" s="67">
        <v>0</v>
      </c>
      <c r="J72" s="67"/>
      <c r="K72" s="67"/>
      <c r="L72" s="67"/>
      <c r="M72" s="67"/>
      <c r="N72" s="67"/>
      <c r="O72" s="67"/>
      <c r="P72" s="67"/>
      <c r="Q72" s="67"/>
      <c r="R72" s="67"/>
      <c r="S72" s="67"/>
      <c r="T72" s="67"/>
      <c r="U72" s="67"/>
      <c r="V72" s="67"/>
      <c r="W72" s="67"/>
      <c r="X72" s="67"/>
      <c r="Y72" s="67"/>
      <c r="Z72" s="67"/>
    </row>
    <row r="73" spans="1:26" ht="15" customHeight="1">
      <c r="A73" s="67">
        <v>72</v>
      </c>
      <c r="B73" s="67" t="s">
        <v>153</v>
      </c>
      <c r="C73" s="67" t="s">
        <v>101</v>
      </c>
      <c r="D73" s="128">
        <v>46201.083333333343</v>
      </c>
      <c r="E73" s="67" t="s">
        <v>72</v>
      </c>
      <c r="F73" s="67" t="s">
        <v>68</v>
      </c>
      <c r="G73" s="67" t="s">
        <v>42</v>
      </c>
      <c r="H73" s="67">
        <v>0</v>
      </c>
      <c r="I73" s="67">
        <v>0</v>
      </c>
      <c r="J73" s="67"/>
      <c r="K73" s="67"/>
      <c r="L73" s="67"/>
      <c r="M73" s="67"/>
      <c r="N73" s="67"/>
      <c r="O73" s="67"/>
      <c r="P73" s="67"/>
      <c r="Q73" s="67"/>
      <c r="R73" s="67"/>
      <c r="S73" s="67"/>
      <c r="T73" s="67"/>
      <c r="U73" s="67"/>
      <c r="V73" s="67"/>
      <c r="W73" s="67"/>
      <c r="X73" s="67"/>
      <c r="Y73" s="67"/>
      <c r="Z73" s="67"/>
    </row>
    <row r="74" spans="1:26" ht="15" customHeight="1">
      <c r="A74" s="67">
        <v>73</v>
      </c>
      <c r="B74" s="67" t="s">
        <v>83</v>
      </c>
      <c r="C74" s="67"/>
      <c r="D74" s="128">
        <v>46201.791666666657</v>
      </c>
      <c r="E74" s="67"/>
      <c r="F74" s="67"/>
      <c r="G74" s="67" t="s">
        <v>21</v>
      </c>
      <c r="H74" s="67">
        <v>0</v>
      </c>
      <c r="I74" s="67">
        <v>1</v>
      </c>
      <c r="J74" s="67" t="s">
        <v>352</v>
      </c>
      <c r="K74" s="67" t="s">
        <v>353</v>
      </c>
      <c r="L74" s="67"/>
      <c r="M74" s="67"/>
      <c r="N74" s="67"/>
      <c r="O74" s="67"/>
      <c r="P74" s="67"/>
      <c r="Q74" s="67"/>
      <c r="R74" s="67"/>
      <c r="S74" s="67"/>
      <c r="T74" s="67"/>
      <c r="U74" s="67"/>
      <c r="V74" s="67"/>
      <c r="W74" s="67"/>
      <c r="X74" s="67"/>
      <c r="Y74" s="67"/>
      <c r="Z74" s="67"/>
    </row>
    <row r="75" spans="1:26" ht="15" customHeight="1">
      <c r="A75" s="67">
        <v>74</v>
      </c>
      <c r="B75" s="67" t="s">
        <v>83</v>
      </c>
      <c r="C75" s="67"/>
      <c r="D75" s="128">
        <v>46202.854166666657</v>
      </c>
      <c r="E75" s="67"/>
      <c r="F75" s="67"/>
      <c r="G75" s="67" t="s">
        <v>31</v>
      </c>
      <c r="H75" s="67">
        <v>0</v>
      </c>
      <c r="I75" s="67">
        <v>1</v>
      </c>
      <c r="J75" s="67" t="s">
        <v>354</v>
      </c>
      <c r="K75" s="67" t="s">
        <v>355</v>
      </c>
      <c r="L75" s="67"/>
      <c r="M75" s="67"/>
      <c r="N75" s="67"/>
      <c r="O75" s="67"/>
      <c r="P75" s="67"/>
      <c r="Q75" s="67"/>
      <c r="R75" s="67"/>
      <c r="S75" s="67"/>
      <c r="T75" s="67"/>
      <c r="U75" s="67"/>
      <c r="V75" s="67"/>
      <c r="W75" s="67"/>
      <c r="X75" s="67"/>
      <c r="Y75" s="67"/>
      <c r="Z75" s="67"/>
    </row>
    <row r="76" spans="1:26" ht="15" customHeight="1">
      <c r="A76" s="67">
        <v>75</v>
      </c>
      <c r="B76" s="67" t="s">
        <v>83</v>
      </c>
      <c r="C76" s="67"/>
      <c r="D76" s="128">
        <v>46203.041666666657</v>
      </c>
      <c r="E76" s="67"/>
      <c r="F76" s="67"/>
      <c r="G76" s="67" t="s">
        <v>48</v>
      </c>
      <c r="H76" s="67">
        <v>0</v>
      </c>
      <c r="I76" s="67">
        <v>1</v>
      </c>
      <c r="J76" s="67" t="s">
        <v>356</v>
      </c>
      <c r="K76" s="67" t="s">
        <v>357</v>
      </c>
      <c r="L76" s="67"/>
      <c r="M76" s="67"/>
      <c r="N76" s="67"/>
      <c r="O76" s="67"/>
      <c r="P76" s="67"/>
      <c r="Q76" s="67"/>
      <c r="R76" s="67"/>
      <c r="S76" s="67"/>
      <c r="T76" s="67"/>
      <c r="U76" s="67"/>
      <c r="V76" s="67"/>
      <c r="W76" s="67"/>
      <c r="X76" s="67"/>
      <c r="Y76" s="67"/>
      <c r="Z76" s="67"/>
    </row>
    <row r="77" spans="1:26" ht="15" customHeight="1">
      <c r="A77" s="67">
        <v>76</v>
      </c>
      <c r="B77" s="67" t="s">
        <v>83</v>
      </c>
      <c r="C77" s="67"/>
      <c r="D77" s="128">
        <v>46202.708333333343</v>
      </c>
      <c r="E77" s="67"/>
      <c r="F77" s="67"/>
      <c r="G77" s="67" t="s">
        <v>38</v>
      </c>
      <c r="H77" s="67">
        <v>0</v>
      </c>
      <c r="I77" s="67">
        <v>1</v>
      </c>
      <c r="J77" s="67" t="s">
        <v>358</v>
      </c>
      <c r="K77" s="67" t="s">
        <v>359</v>
      </c>
      <c r="L77" s="67"/>
      <c r="M77" s="67"/>
      <c r="N77" s="67"/>
      <c r="O77" s="67"/>
      <c r="P77" s="67"/>
      <c r="Q77" s="67"/>
      <c r="R77" s="67"/>
      <c r="S77" s="67"/>
      <c r="T77" s="67"/>
      <c r="U77" s="67"/>
      <c r="V77" s="67"/>
      <c r="W77" s="67"/>
      <c r="X77" s="67"/>
      <c r="Y77" s="67"/>
      <c r="Z77" s="67"/>
    </row>
    <row r="78" spans="1:26" ht="15" customHeight="1">
      <c r="A78" s="67">
        <v>77</v>
      </c>
      <c r="B78" s="67" t="s">
        <v>83</v>
      </c>
      <c r="C78" s="67"/>
      <c r="D78" s="128">
        <v>46203.875</v>
      </c>
      <c r="E78" s="67"/>
      <c r="F78" s="67"/>
      <c r="G78" s="67" t="s">
        <v>28</v>
      </c>
      <c r="H78" s="67">
        <v>0</v>
      </c>
      <c r="I78" s="67">
        <v>1</v>
      </c>
      <c r="J78" s="67" t="s">
        <v>360</v>
      </c>
      <c r="K78" s="67" t="s">
        <v>361</v>
      </c>
      <c r="L78" s="67"/>
      <c r="M78" s="67"/>
      <c r="N78" s="67"/>
      <c r="O78" s="67"/>
      <c r="P78" s="67"/>
      <c r="Q78" s="67"/>
      <c r="R78" s="67"/>
      <c r="S78" s="67"/>
      <c r="T78" s="67"/>
      <c r="U78" s="67"/>
      <c r="V78" s="67"/>
      <c r="W78" s="67"/>
      <c r="X78" s="67"/>
      <c r="Y78" s="67"/>
      <c r="Z78" s="67"/>
    </row>
    <row r="79" spans="1:26" ht="15" customHeight="1">
      <c r="A79" s="67">
        <v>78</v>
      </c>
      <c r="B79" s="67" t="s">
        <v>83</v>
      </c>
      <c r="C79" s="67"/>
      <c r="D79" s="128">
        <v>46203.708333333343</v>
      </c>
      <c r="E79" s="67"/>
      <c r="F79" s="67"/>
      <c r="G79" s="67" t="s">
        <v>42</v>
      </c>
      <c r="H79" s="67">
        <v>0</v>
      </c>
      <c r="I79" s="67">
        <v>1</v>
      </c>
      <c r="J79" s="67" t="s">
        <v>362</v>
      </c>
      <c r="K79" s="67" t="s">
        <v>363</v>
      </c>
      <c r="L79" s="67"/>
      <c r="M79" s="67"/>
      <c r="N79" s="67"/>
      <c r="O79" s="67"/>
      <c r="P79" s="67"/>
      <c r="Q79" s="67"/>
      <c r="R79" s="67"/>
      <c r="S79" s="67"/>
      <c r="T79" s="67"/>
      <c r="U79" s="67"/>
      <c r="V79" s="67"/>
      <c r="W79" s="67"/>
      <c r="X79" s="67"/>
      <c r="Y79" s="67"/>
      <c r="Z79" s="67"/>
    </row>
    <row r="80" spans="1:26" ht="15" customHeight="1">
      <c r="A80" s="67">
        <v>79</v>
      </c>
      <c r="B80" s="67" t="s">
        <v>83</v>
      </c>
      <c r="C80" s="67"/>
      <c r="D80" s="128">
        <v>46204.041666666657</v>
      </c>
      <c r="E80" s="67"/>
      <c r="F80" s="67"/>
      <c r="G80" s="67" t="s">
        <v>10</v>
      </c>
      <c r="H80" s="67">
        <v>0</v>
      </c>
      <c r="I80" s="67">
        <v>1</v>
      </c>
      <c r="J80" s="67" t="s">
        <v>364</v>
      </c>
      <c r="K80" s="67" t="s">
        <v>365</v>
      </c>
      <c r="L80" s="67"/>
      <c r="M80" s="67"/>
      <c r="N80" s="67"/>
      <c r="O80" s="67"/>
      <c r="P80" s="67"/>
      <c r="Q80" s="67"/>
      <c r="R80" s="67"/>
      <c r="S80" s="67"/>
      <c r="T80" s="67"/>
      <c r="U80" s="67"/>
      <c r="V80" s="67"/>
      <c r="W80" s="67"/>
      <c r="X80" s="67"/>
      <c r="Y80" s="67"/>
      <c r="Z80" s="67"/>
    </row>
    <row r="81" spans="1:26" ht="15" customHeight="1">
      <c r="A81" s="67">
        <v>80</v>
      </c>
      <c r="B81" s="67" t="s">
        <v>83</v>
      </c>
      <c r="C81" s="67"/>
      <c r="D81" s="128">
        <v>46204.666666666657</v>
      </c>
      <c r="E81" s="67"/>
      <c r="F81" s="67"/>
      <c r="G81" s="67" t="s">
        <v>52</v>
      </c>
      <c r="H81" s="67">
        <v>0</v>
      </c>
      <c r="I81" s="67">
        <v>1</v>
      </c>
      <c r="J81" s="67" t="s">
        <v>366</v>
      </c>
      <c r="K81" s="67" t="s">
        <v>367</v>
      </c>
      <c r="L81" s="67"/>
      <c r="M81" s="67"/>
      <c r="N81" s="67"/>
      <c r="O81" s="67"/>
      <c r="P81" s="67"/>
      <c r="Q81" s="67"/>
      <c r="R81" s="67"/>
      <c r="S81" s="67"/>
      <c r="T81" s="67"/>
      <c r="U81" s="67"/>
      <c r="V81" s="67"/>
      <c r="W81" s="67"/>
      <c r="X81" s="67"/>
      <c r="Y81" s="67"/>
      <c r="Z81" s="67"/>
    </row>
    <row r="82" spans="1:26" ht="15" customHeight="1">
      <c r="A82" s="67">
        <v>81</v>
      </c>
      <c r="B82" s="67" t="s">
        <v>83</v>
      </c>
      <c r="C82" s="67"/>
      <c r="D82" s="128">
        <v>46205</v>
      </c>
      <c r="E82" s="67"/>
      <c r="F82" s="67"/>
      <c r="G82" s="67" t="s">
        <v>24</v>
      </c>
      <c r="H82" s="67">
        <v>0</v>
      </c>
      <c r="I82" s="67">
        <v>1</v>
      </c>
      <c r="J82" s="67" t="s">
        <v>368</v>
      </c>
      <c r="K82" s="67" t="s">
        <v>369</v>
      </c>
      <c r="L82" s="67"/>
      <c r="M82" s="67"/>
      <c r="N82" s="67"/>
      <c r="O82" s="67"/>
      <c r="P82" s="67"/>
      <c r="Q82" s="67"/>
      <c r="R82" s="67"/>
      <c r="S82" s="67"/>
      <c r="T82" s="67"/>
      <c r="U82" s="67"/>
      <c r="V82" s="67"/>
      <c r="W82" s="67"/>
      <c r="X82" s="67"/>
      <c r="Y82" s="67"/>
      <c r="Z82" s="67"/>
    </row>
    <row r="83" spans="1:26" ht="15" customHeight="1">
      <c r="A83" s="67">
        <v>82</v>
      </c>
      <c r="B83" s="67" t="s">
        <v>83</v>
      </c>
      <c r="C83" s="67"/>
      <c r="D83" s="128">
        <v>46204.833333333343</v>
      </c>
      <c r="E83" s="67"/>
      <c r="F83" s="67"/>
      <c r="G83" s="67" t="s">
        <v>56</v>
      </c>
      <c r="H83" s="67">
        <v>0</v>
      </c>
      <c r="I83" s="67">
        <v>1</v>
      </c>
      <c r="J83" s="67" t="s">
        <v>370</v>
      </c>
      <c r="K83" s="67" t="s">
        <v>371</v>
      </c>
      <c r="L83" s="67"/>
      <c r="M83" s="67"/>
      <c r="N83" s="67"/>
      <c r="O83" s="67"/>
      <c r="P83" s="67"/>
      <c r="Q83" s="67"/>
      <c r="R83" s="67"/>
      <c r="S83" s="67"/>
      <c r="T83" s="67"/>
      <c r="U83" s="67"/>
      <c r="V83" s="67"/>
      <c r="W83" s="67"/>
      <c r="X83" s="67"/>
      <c r="Y83" s="67"/>
      <c r="Z83" s="67"/>
    </row>
    <row r="84" spans="1:26" ht="15" customHeight="1">
      <c r="A84" s="67">
        <v>83</v>
      </c>
      <c r="B84" s="67" t="s">
        <v>83</v>
      </c>
      <c r="C84" s="67"/>
      <c r="D84" s="128">
        <v>46205.958333333343</v>
      </c>
      <c r="E84" s="67"/>
      <c r="F84" s="67"/>
      <c r="G84" s="67" t="s">
        <v>17</v>
      </c>
      <c r="H84" s="67">
        <v>0</v>
      </c>
      <c r="I84" s="67">
        <v>1</v>
      </c>
      <c r="J84" s="67" t="s">
        <v>372</v>
      </c>
      <c r="K84" s="67" t="s">
        <v>373</v>
      </c>
      <c r="L84" s="67"/>
      <c r="M84" s="67"/>
      <c r="N84" s="67"/>
      <c r="O84" s="67"/>
      <c r="P84" s="67"/>
      <c r="Q84" s="67"/>
      <c r="R84" s="67"/>
      <c r="S84" s="67"/>
      <c r="T84" s="67"/>
      <c r="U84" s="67"/>
      <c r="V84" s="67"/>
      <c r="W84" s="67"/>
      <c r="X84" s="67"/>
      <c r="Y84" s="67"/>
      <c r="Z84" s="67"/>
    </row>
    <row r="85" spans="1:26" ht="15" customHeight="1">
      <c r="A85" s="67">
        <v>84</v>
      </c>
      <c r="B85" s="67" t="s">
        <v>83</v>
      </c>
      <c r="C85" s="67"/>
      <c r="D85" s="128">
        <v>46205.791666666657</v>
      </c>
      <c r="E85" s="67"/>
      <c r="F85" s="67"/>
      <c r="G85" s="67" t="s">
        <v>21</v>
      </c>
      <c r="H85" s="67">
        <v>0</v>
      </c>
      <c r="I85" s="67">
        <v>1</v>
      </c>
      <c r="J85" s="67" t="s">
        <v>374</v>
      </c>
      <c r="K85" s="67" t="s">
        <v>375</v>
      </c>
      <c r="L85" s="67"/>
      <c r="M85" s="67"/>
      <c r="N85" s="67"/>
      <c r="O85" s="67"/>
      <c r="P85" s="67"/>
      <c r="Q85" s="67"/>
      <c r="R85" s="67"/>
      <c r="S85" s="67"/>
      <c r="T85" s="67"/>
      <c r="U85" s="67"/>
      <c r="V85" s="67"/>
      <c r="W85" s="67"/>
      <c r="X85" s="67"/>
      <c r="Y85" s="67"/>
      <c r="Z85" s="67"/>
    </row>
    <row r="86" spans="1:26" ht="15" customHeight="1">
      <c r="A86" s="67">
        <v>85</v>
      </c>
      <c r="B86" s="67" t="s">
        <v>83</v>
      </c>
      <c r="C86" s="67"/>
      <c r="D86" s="128">
        <v>46206.125</v>
      </c>
      <c r="E86" s="67"/>
      <c r="F86" s="67"/>
      <c r="G86" s="67" t="s">
        <v>34</v>
      </c>
      <c r="H86" s="67">
        <v>0</v>
      </c>
      <c r="I86" s="67">
        <v>1</v>
      </c>
      <c r="J86" s="67" t="s">
        <v>376</v>
      </c>
      <c r="K86" s="67" t="s">
        <v>377</v>
      </c>
      <c r="L86" s="67"/>
      <c r="M86" s="67"/>
      <c r="N86" s="67"/>
      <c r="O86" s="67"/>
      <c r="P86" s="67"/>
      <c r="Q86" s="67"/>
      <c r="R86" s="67"/>
      <c r="S86" s="67"/>
      <c r="T86" s="67"/>
      <c r="U86" s="67"/>
      <c r="V86" s="67"/>
      <c r="W86" s="67"/>
      <c r="X86" s="67"/>
      <c r="Y86" s="67"/>
      <c r="Z86" s="67"/>
    </row>
    <row r="87" spans="1:26" ht="15" customHeight="1">
      <c r="A87" s="67">
        <v>86</v>
      </c>
      <c r="B87" s="67" t="s">
        <v>83</v>
      </c>
      <c r="C87" s="67"/>
      <c r="D87" s="128">
        <v>46206.916666666657</v>
      </c>
      <c r="E87" s="67"/>
      <c r="F87" s="67"/>
      <c r="G87" s="67" t="s">
        <v>59</v>
      </c>
      <c r="H87" s="67">
        <v>0</v>
      </c>
      <c r="I87" s="67">
        <v>1</v>
      </c>
      <c r="J87" s="67" t="s">
        <v>378</v>
      </c>
      <c r="K87" s="67" t="s">
        <v>379</v>
      </c>
      <c r="L87" s="67"/>
      <c r="M87" s="67"/>
      <c r="N87" s="67"/>
      <c r="O87" s="67"/>
      <c r="P87" s="67"/>
      <c r="Q87" s="67"/>
      <c r="R87" s="67"/>
      <c r="S87" s="67"/>
      <c r="T87" s="67"/>
      <c r="U87" s="67"/>
      <c r="V87" s="67"/>
      <c r="W87" s="67"/>
      <c r="X87" s="67"/>
      <c r="Y87" s="67"/>
      <c r="Z87" s="67"/>
    </row>
    <row r="88" spans="1:26" ht="15" customHeight="1">
      <c r="A88" s="67">
        <v>87</v>
      </c>
      <c r="B88" s="67" t="s">
        <v>83</v>
      </c>
      <c r="C88" s="67"/>
      <c r="D88" s="128">
        <v>46207.0625</v>
      </c>
      <c r="E88" s="67"/>
      <c r="F88" s="67"/>
      <c r="G88" s="67" t="s">
        <v>70</v>
      </c>
      <c r="H88" s="67">
        <v>0</v>
      </c>
      <c r="I88" s="67">
        <v>1</v>
      </c>
      <c r="J88" s="67" t="s">
        <v>380</v>
      </c>
      <c r="K88" s="67" t="s">
        <v>381</v>
      </c>
      <c r="L88" s="67"/>
      <c r="M88" s="67"/>
      <c r="N88" s="67"/>
      <c r="O88" s="67"/>
      <c r="P88" s="67"/>
      <c r="Q88" s="67"/>
      <c r="R88" s="67"/>
      <c r="S88" s="67"/>
      <c r="T88" s="67"/>
      <c r="U88" s="67"/>
      <c r="V88" s="67"/>
      <c r="W88" s="67"/>
      <c r="X88" s="67"/>
      <c r="Y88" s="67"/>
      <c r="Z88" s="67"/>
    </row>
    <row r="89" spans="1:26" ht="15" customHeight="1">
      <c r="A89" s="67">
        <v>88</v>
      </c>
      <c r="B89" s="67" t="s">
        <v>83</v>
      </c>
      <c r="C89" s="67"/>
      <c r="D89" s="128">
        <v>46206.75</v>
      </c>
      <c r="E89" s="67"/>
      <c r="F89" s="67"/>
      <c r="G89" s="67" t="s">
        <v>42</v>
      </c>
      <c r="H89" s="67">
        <v>0</v>
      </c>
      <c r="I89" s="67">
        <v>1</v>
      </c>
      <c r="J89" s="67" t="s">
        <v>382</v>
      </c>
      <c r="K89" s="67" t="s">
        <v>383</v>
      </c>
      <c r="L89" s="67"/>
      <c r="M89" s="67"/>
      <c r="N89" s="67"/>
      <c r="O89" s="67"/>
      <c r="P89" s="67"/>
      <c r="Q89" s="67"/>
      <c r="R89" s="67"/>
      <c r="S89" s="67"/>
      <c r="T89" s="67"/>
      <c r="U89" s="67"/>
      <c r="V89" s="67"/>
      <c r="W89" s="67"/>
      <c r="X89" s="67"/>
      <c r="Y89" s="67"/>
      <c r="Z89" s="67"/>
    </row>
    <row r="90" spans="1:26" ht="15" customHeight="1">
      <c r="A90" s="67">
        <v>89</v>
      </c>
      <c r="B90" s="67" t="s">
        <v>84</v>
      </c>
      <c r="C90" s="67"/>
      <c r="D90" s="128">
        <v>46207.708333333343</v>
      </c>
      <c r="E90" s="67"/>
      <c r="F90" s="67"/>
      <c r="G90" s="67" t="s">
        <v>38</v>
      </c>
      <c r="H90" s="67">
        <v>0</v>
      </c>
      <c r="I90" s="67">
        <v>2</v>
      </c>
      <c r="J90" s="67" t="s">
        <v>384</v>
      </c>
      <c r="K90" s="67" t="s">
        <v>385</v>
      </c>
      <c r="L90" s="67"/>
      <c r="M90" s="67"/>
      <c r="N90" s="67"/>
      <c r="O90" s="67"/>
      <c r="P90" s="67"/>
      <c r="Q90" s="67"/>
      <c r="R90" s="67"/>
      <c r="S90" s="67"/>
      <c r="T90" s="67"/>
      <c r="U90" s="67"/>
      <c r="V90" s="67"/>
      <c r="W90" s="67"/>
      <c r="X90" s="67"/>
      <c r="Y90" s="67"/>
      <c r="Z90" s="67"/>
    </row>
    <row r="91" spans="1:26" ht="15" customHeight="1">
      <c r="A91" s="67">
        <v>90</v>
      </c>
      <c r="B91" s="67" t="s">
        <v>84</v>
      </c>
      <c r="C91" s="67"/>
      <c r="D91" s="128">
        <v>46207.875</v>
      </c>
      <c r="E91" s="67"/>
      <c r="F91" s="67"/>
      <c r="G91" s="67" t="s">
        <v>45</v>
      </c>
      <c r="H91" s="67">
        <v>0</v>
      </c>
      <c r="I91" s="67">
        <v>2</v>
      </c>
      <c r="J91" s="67" t="s">
        <v>386</v>
      </c>
      <c r="K91" s="67" t="s">
        <v>387</v>
      </c>
      <c r="L91" s="67"/>
      <c r="M91" s="67"/>
      <c r="N91" s="67"/>
      <c r="O91" s="67"/>
      <c r="P91" s="67"/>
      <c r="Q91" s="67"/>
      <c r="R91" s="67"/>
      <c r="S91" s="67"/>
      <c r="T91" s="67"/>
      <c r="U91" s="67"/>
      <c r="V91" s="67"/>
      <c r="W91" s="67"/>
      <c r="X91" s="67"/>
      <c r="Y91" s="67"/>
      <c r="Z91" s="67"/>
    </row>
    <row r="92" spans="1:26" ht="15" customHeight="1">
      <c r="A92" s="67">
        <v>91</v>
      </c>
      <c r="B92" s="67" t="s">
        <v>84</v>
      </c>
      <c r="C92" s="67"/>
      <c r="D92" s="128">
        <v>46208.833333333343</v>
      </c>
      <c r="E92" s="67"/>
      <c r="F92" s="67"/>
      <c r="G92" s="67" t="s">
        <v>28</v>
      </c>
      <c r="H92" s="67">
        <v>0</v>
      </c>
      <c r="I92" s="67">
        <v>2</v>
      </c>
      <c r="J92" s="67" t="s">
        <v>388</v>
      </c>
      <c r="K92" s="67" t="s">
        <v>389</v>
      </c>
      <c r="L92" s="67"/>
      <c r="M92" s="67"/>
      <c r="N92" s="67"/>
      <c r="O92" s="67"/>
      <c r="P92" s="67"/>
      <c r="Q92" s="67"/>
      <c r="R92" s="67"/>
      <c r="S92" s="67"/>
      <c r="T92" s="67"/>
      <c r="U92" s="67"/>
      <c r="V92" s="67"/>
      <c r="W92" s="67"/>
      <c r="X92" s="67"/>
      <c r="Y92" s="67"/>
      <c r="Z92" s="67"/>
    </row>
    <row r="93" spans="1:26" ht="15" customHeight="1">
      <c r="A93" s="67">
        <v>92</v>
      </c>
      <c r="B93" s="67" t="s">
        <v>84</v>
      </c>
      <c r="C93" s="67"/>
      <c r="D93" s="128">
        <v>46209</v>
      </c>
      <c r="E93" s="67"/>
      <c r="F93" s="67"/>
      <c r="G93" s="67" t="s">
        <v>10</v>
      </c>
      <c r="H93" s="67">
        <v>0</v>
      </c>
      <c r="I93" s="67">
        <v>2</v>
      </c>
      <c r="J93" s="67" t="s">
        <v>390</v>
      </c>
      <c r="K93" s="67" t="s">
        <v>391</v>
      </c>
      <c r="L93" s="67"/>
      <c r="M93" s="67"/>
      <c r="N93" s="67"/>
      <c r="O93" s="67"/>
      <c r="P93" s="67"/>
      <c r="Q93" s="67"/>
      <c r="R93" s="67"/>
      <c r="S93" s="67"/>
      <c r="T93" s="67"/>
      <c r="U93" s="67"/>
      <c r="V93" s="67"/>
      <c r="W93" s="67"/>
      <c r="X93" s="67"/>
      <c r="Y93" s="67"/>
      <c r="Z93" s="67"/>
    </row>
    <row r="94" spans="1:26" ht="15" customHeight="1">
      <c r="A94" s="67">
        <v>93</v>
      </c>
      <c r="B94" s="67" t="s">
        <v>84</v>
      </c>
      <c r="C94" s="67"/>
      <c r="D94" s="128">
        <v>46209.791666666657</v>
      </c>
      <c r="E94" s="67"/>
      <c r="F94" s="67"/>
      <c r="G94" s="67" t="s">
        <v>42</v>
      </c>
      <c r="H94" s="67">
        <v>0</v>
      </c>
      <c r="I94" s="67">
        <v>2</v>
      </c>
      <c r="J94" s="67" t="s">
        <v>392</v>
      </c>
      <c r="K94" s="67" t="s">
        <v>393</v>
      </c>
      <c r="L94" s="67"/>
      <c r="M94" s="67"/>
      <c r="N94" s="67"/>
      <c r="O94" s="67"/>
      <c r="P94" s="67"/>
      <c r="Q94" s="67"/>
      <c r="R94" s="67"/>
      <c r="S94" s="67"/>
      <c r="T94" s="67"/>
      <c r="U94" s="67"/>
      <c r="V94" s="67"/>
      <c r="W94" s="67"/>
      <c r="X94" s="67"/>
      <c r="Y94" s="67"/>
      <c r="Z94" s="67"/>
    </row>
    <row r="95" spans="1:26" ht="15" customHeight="1">
      <c r="A95" s="67">
        <v>94</v>
      </c>
      <c r="B95" s="67" t="s">
        <v>84</v>
      </c>
      <c r="C95" s="67"/>
      <c r="D95" s="128">
        <v>46210</v>
      </c>
      <c r="E95" s="67"/>
      <c r="F95" s="67"/>
      <c r="G95" s="67" t="s">
        <v>56</v>
      </c>
      <c r="H95" s="67">
        <v>0</v>
      </c>
      <c r="I95" s="67">
        <v>2</v>
      </c>
      <c r="J95" s="67" t="s">
        <v>394</v>
      </c>
      <c r="K95" s="67" t="s">
        <v>395</v>
      </c>
      <c r="L95" s="67"/>
      <c r="M95" s="67"/>
      <c r="N95" s="67"/>
      <c r="O95" s="67"/>
      <c r="P95" s="67"/>
      <c r="Q95" s="67"/>
      <c r="R95" s="67"/>
      <c r="S95" s="67"/>
      <c r="T95" s="67"/>
      <c r="U95" s="67"/>
      <c r="V95" s="67"/>
      <c r="W95" s="67"/>
      <c r="X95" s="67"/>
      <c r="Y95" s="67"/>
      <c r="Z95" s="67"/>
    </row>
    <row r="96" spans="1:26" ht="15" customHeight="1">
      <c r="A96" s="67">
        <v>95</v>
      </c>
      <c r="B96" s="67" t="s">
        <v>84</v>
      </c>
      <c r="C96" s="67"/>
      <c r="D96" s="128">
        <v>46210.666666666657</v>
      </c>
      <c r="E96" s="67"/>
      <c r="F96" s="67"/>
      <c r="G96" s="67" t="s">
        <v>52</v>
      </c>
      <c r="H96" s="67">
        <v>0</v>
      </c>
      <c r="I96" s="67">
        <v>2</v>
      </c>
      <c r="J96" s="67" t="s">
        <v>396</v>
      </c>
      <c r="K96" s="67" t="s">
        <v>397</v>
      </c>
      <c r="L96" s="67"/>
      <c r="M96" s="67"/>
      <c r="N96" s="67"/>
      <c r="O96" s="67"/>
      <c r="P96" s="67"/>
      <c r="Q96" s="67"/>
      <c r="R96" s="67"/>
      <c r="S96" s="67"/>
      <c r="T96" s="67"/>
      <c r="U96" s="67"/>
      <c r="V96" s="67"/>
      <c r="W96" s="67"/>
      <c r="X96" s="67"/>
      <c r="Y96" s="67"/>
      <c r="Z96" s="67"/>
    </row>
    <row r="97" spans="1:26" ht="15" customHeight="1">
      <c r="A97" s="67">
        <v>96</v>
      </c>
      <c r="B97" s="67" t="s">
        <v>84</v>
      </c>
      <c r="C97" s="67"/>
      <c r="D97" s="128">
        <v>46210.833333333343</v>
      </c>
      <c r="E97" s="67"/>
      <c r="F97" s="67"/>
      <c r="G97" s="67" t="s">
        <v>34</v>
      </c>
      <c r="H97" s="67">
        <v>0</v>
      </c>
      <c r="I97" s="67">
        <v>2</v>
      </c>
      <c r="J97" s="67" t="s">
        <v>398</v>
      </c>
      <c r="K97" s="67" t="s">
        <v>399</v>
      </c>
      <c r="L97" s="67"/>
      <c r="M97" s="67"/>
      <c r="N97" s="67"/>
      <c r="O97" s="67"/>
      <c r="P97" s="67"/>
      <c r="Q97" s="67"/>
      <c r="R97" s="67"/>
      <c r="S97" s="67"/>
      <c r="T97" s="67"/>
      <c r="U97" s="67"/>
      <c r="V97" s="67"/>
      <c r="W97" s="67"/>
      <c r="X97" s="67"/>
      <c r="Y97" s="67"/>
      <c r="Z97" s="67"/>
    </row>
    <row r="98" spans="1:26" ht="15" customHeight="1">
      <c r="A98" s="67">
        <v>97</v>
      </c>
      <c r="B98" s="67" t="s">
        <v>85</v>
      </c>
      <c r="C98" s="67"/>
      <c r="D98" s="128">
        <v>46212.833333333343</v>
      </c>
      <c r="E98" s="67"/>
      <c r="F98" s="67"/>
      <c r="G98" s="67" t="s">
        <v>31</v>
      </c>
      <c r="H98" s="67">
        <v>0</v>
      </c>
      <c r="I98" s="67">
        <v>3</v>
      </c>
      <c r="J98" s="67" t="s">
        <v>400</v>
      </c>
      <c r="K98" s="67" t="s">
        <v>401</v>
      </c>
      <c r="L98" s="67"/>
      <c r="M98" s="67"/>
      <c r="N98" s="67"/>
      <c r="O98" s="67"/>
      <c r="P98" s="67"/>
      <c r="Q98" s="67"/>
      <c r="R98" s="67"/>
      <c r="S98" s="67"/>
      <c r="T98" s="67"/>
      <c r="U98" s="67"/>
      <c r="V98" s="67"/>
      <c r="W98" s="67"/>
      <c r="X98" s="67"/>
      <c r="Y98" s="67"/>
      <c r="Z98" s="67"/>
    </row>
    <row r="99" spans="1:26" ht="15" customHeight="1">
      <c r="A99" s="67">
        <v>98</v>
      </c>
      <c r="B99" s="67" t="s">
        <v>85</v>
      </c>
      <c r="C99" s="67"/>
      <c r="D99" s="128">
        <v>46213.791666666657</v>
      </c>
      <c r="E99" s="67"/>
      <c r="F99" s="67"/>
      <c r="G99" s="67" t="s">
        <v>21</v>
      </c>
      <c r="H99" s="67">
        <v>0</v>
      </c>
      <c r="I99" s="67">
        <v>3</v>
      </c>
      <c r="J99" s="67" t="s">
        <v>402</v>
      </c>
      <c r="K99" s="67" t="s">
        <v>403</v>
      </c>
      <c r="L99" s="67"/>
      <c r="M99" s="67"/>
      <c r="N99" s="67"/>
      <c r="O99" s="67"/>
      <c r="P99" s="67"/>
      <c r="Q99" s="67"/>
      <c r="R99" s="67"/>
      <c r="S99" s="67"/>
      <c r="T99" s="67"/>
      <c r="U99" s="67"/>
      <c r="V99" s="67"/>
      <c r="W99" s="67"/>
      <c r="X99" s="67"/>
      <c r="Y99" s="67"/>
      <c r="Z99" s="67"/>
    </row>
    <row r="100" spans="1:26" ht="15" customHeight="1">
      <c r="A100" s="67">
        <v>99</v>
      </c>
      <c r="B100" s="67" t="s">
        <v>85</v>
      </c>
      <c r="C100" s="67"/>
      <c r="D100" s="128">
        <v>46214.875</v>
      </c>
      <c r="E100" s="67"/>
      <c r="F100" s="67"/>
      <c r="G100" s="67" t="s">
        <v>59</v>
      </c>
      <c r="H100" s="67">
        <v>0</v>
      </c>
      <c r="I100" s="67">
        <v>3</v>
      </c>
      <c r="J100" s="67" t="s">
        <v>404</v>
      </c>
      <c r="K100" s="67" t="s">
        <v>405</v>
      </c>
      <c r="L100" s="67"/>
      <c r="M100" s="67"/>
      <c r="N100" s="67"/>
      <c r="O100" s="67"/>
      <c r="P100" s="67"/>
      <c r="Q100" s="67"/>
      <c r="R100" s="67"/>
      <c r="S100" s="67"/>
      <c r="T100" s="67"/>
      <c r="U100" s="67"/>
      <c r="V100" s="67"/>
      <c r="W100" s="67"/>
      <c r="X100" s="67"/>
      <c r="Y100" s="67"/>
      <c r="Z100" s="67"/>
    </row>
    <row r="101" spans="1:26" ht="15" customHeight="1">
      <c r="A101" s="67">
        <v>100</v>
      </c>
      <c r="B101" s="67" t="s">
        <v>85</v>
      </c>
      <c r="C101" s="67"/>
      <c r="D101" s="128">
        <v>46215.041666666657</v>
      </c>
      <c r="E101" s="67"/>
      <c r="F101" s="67"/>
      <c r="G101" s="67" t="s">
        <v>70</v>
      </c>
      <c r="H101" s="67">
        <v>0</v>
      </c>
      <c r="I101" s="67">
        <v>3</v>
      </c>
      <c r="J101" s="67" t="s">
        <v>406</v>
      </c>
      <c r="K101" s="67" t="s">
        <v>407</v>
      </c>
      <c r="L101" s="67"/>
      <c r="M101" s="67"/>
      <c r="N101" s="67"/>
      <c r="O101" s="67"/>
      <c r="P101" s="67"/>
      <c r="Q101" s="67"/>
      <c r="R101" s="67"/>
      <c r="S101" s="67"/>
      <c r="T101" s="67"/>
      <c r="U101" s="67"/>
      <c r="V101" s="67"/>
      <c r="W101" s="67"/>
      <c r="X101" s="67"/>
      <c r="Y101" s="67"/>
      <c r="Z101" s="67"/>
    </row>
    <row r="102" spans="1:26" ht="15" customHeight="1">
      <c r="A102" s="67">
        <v>101</v>
      </c>
      <c r="B102" s="67" t="s">
        <v>86</v>
      </c>
      <c r="C102" s="67"/>
      <c r="D102" s="128">
        <v>46217.791666666657</v>
      </c>
      <c r="E102" s="67"/>
      <c r="F102" s="67"/>
      <c r="G102" s="67" t="s">
        <v>42</v>
      </c>
      <c r="H102" s="67">
        <v>0</v>
      </c>
      <c r="I102" s="67">
        <v>4</v>
      </c>
      <c r="J102" s="67" t="s">
        <v>408</v>
      </c>
      <c r="K102" s="67" t="s">
        <v>409</v>
      </c>
      <c r="L102" s="67"/>
      <c r="M102" s="67"/>
      <c r="N102" s="67"/>
      <c r="O102" s="67"/>
      <c r="P102" s="67"/>
      <c r="Q102" s="67"/>
      <c r="R102" s="67"/>
      <c r="S102" s="67"/>
      <c r="T102" s="67"/>
      <c r="U102" s="67"/>
      <c r="V102" s="67"/>
      <c r="W102" s="67"/>
      <c r="X102" s="67"/>
      <c r="Y102" s="67"/>
      <c r="Z102" s="67"/>
    </row>
    <row r="103" spans="1:26" ht="15" customHeight="1">
      <c r="A103" s="67">
        <v>102</v>
      </c>
      <c r="B103" s="67" t="s">
        <v>86</v>
      </c>
      <c r="C103" s="67"/>
      <c r="D103" s="128">
        <v>46218.791666666657</v>
      </c>
      <c r="E103" s="67"/>
      <c r="F103" s="67"/>
      <c r="G103" s="67" t="s">
        <v>52</v>
      </c>
      <c r="H103" s="67">
        <v>0</v>
      </c>
      <c r="I103" s="67">
        <v>4</v>
      </c>
      <c r="J103" s="67" t="s">
        <v>410</v>
      </c>
      <c r="K103" s="67" t="s">
        <v>411</v>
      </c>
      <c r="L103" s="67"/>
      <c r="M103" s="67"/>
      <c r="N103" s="67"/>
      <c r="O103" s="67"/>
      <c r="P103" s="67"/>
      <c r="Q103" s="67"/>
      <c r="R103" s="67"/>
      <c r="S103" s="67"/>
      <c r="T103" s="67"/>
      <c r="U103" s="67"/>
      <c r="V103" s="67"/>
      <c r="W103" s="67"/>
      <c r="X103" s="67"/>
      <c r="Y103" s="67"/>
      <c r="Z103" s="67"/>
    </row>
    <row r="104" spans="1:26" ht="15" customHeight="1">
      <c r="A104" s="67">
        <v>103</v>
      </c>
      <c r="B104" s="67" t="s">
        <v>87</v>
      </c>
      <c r="C104" s="67"/>
      <c r="D104" s="128">
        <v>46221.875</v>
      </c>
      <c r="E104" s="67"/>
      <c r="F104" s="67"/>
      <c r="G104" s="67" t="s">
        <v>59</v>
      </c>
      <c r="H104" s="67">
        <v>0</v>
      </c>
      <c r="I104" s="67">
        <v>5</v>
      </c>
      <c r="J104" s="67" t="s">
        <v>412</v>
      </c>
      <c r="K104" s="67" t="s">
        <v>413</v>
      </c>
      <c r="L104" s="67"/>
      <c r="M104" s="67"/>
      <c r="N104" s="67"/>
      <c r="O104" s="67"/>
      <c r="P104" s="67"/>
      <c r="Q104" s="67"/>
      <c r="R104" s="67"/>
      <c r="S104" s="67"/>
      <c r="T104" s="67"/>
      <c r="U104" s="67"/>
      <c r="V104" s="67"/>
      <c r="W104" s="67"/>
      <c r="X104" s="67"/>
      <c r="Y104" s="67"/>
      <c r="Z104" s="67"/>
    </row>
    <row r="105" spans="1:26" ht="15" customHeight="1">
      <c r="A105" s="67">
        <v>104</v>
      </c>
      <c r="B105" s="67" t="s">
        <v>88</v>
      </c>
      <c r="C105" s="67"/>
      <c r="D105" s="128">
        <v>46222.791666666657</v>
      </c>
      <c r="E105" s="67"/>
      <c r="F105" s="67"/>
      <c r="G105" s="67" t="s">
        <v>28</v>
      </c>
      <c r="H105" s="67">
        <v>0</v>
      </c>
      <c r="I105" s="67">
        <v>6</v>
      </c>
      <c r="J105" s="67" t="s">
        <v>414</v>
      </c>
      <c r="K105" s="67" t="s">
        <v>415</v>
      </c>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Kick-off</vt:lpstr>
      <vt:lpstr>How to use</vt:lpstr>
      <vt:lpstr>Daily Schedule</vt:lpstr>
      <vt:lpstr>Group Tables</vt:lpstr>
      <vt:lpstr>Predictions &amp; Results</vt:lpstr>
      <vt:lpstr>Sweepstake</vt:lpstr>
      <vt:lpstr>Teams</vt:lpstr>
      <vt:lpstr>Settings</vt:lpstr>
      <vt:lpstr>_data</vt:lpstr>
      <vt:lpstr>_lang</vt:lpstr>
      <vt:lpstr>_stadiums</vt:lpstr>
      <vt:lpstr>_codes</vt:lpstr>
      <vt:lpstr>_h2h</vt:lpstr>
      <vt:lpstr>b3Group</vt:lpstr>
      <vt:lpstr>b3Rank</vt:lpstr>
      <vt:lpstr>b3Team</vt:lpstr>
      <vt:lpstr>codesTable</vt:lpstr>
      <vt:lpstr>dAway</vt:lpstr>
      <vt:lpstr>dGroup</vt:lpstr>
      <vt:lpstr>dHome</vt:lpstr>
      <vt:lpstr>dITV</vt:lpstr>
      <vt:lpstr>dMatch</vt:lpstr>
      <vt:lpstr>dRefA</vt:lpstr>
      <vt:lpstr>dRefB</vt:lpstr>
      <vt:lpstr>dRound</vt:lpstr>
      <vt:lpstr>dRoundN</vt:lpstr>
      <vt:lpstr>dStadium</vt:lpstr>
      <vt:lpstr>dUTC</vt:lpstr>
      <vt:lpstr>h2hTable</vt:lpstr>
      <vt:lpstr>langCode</vt:lpstr>
      <vt:lpstr>langList</vt:lpstr>
      <vt:lpstr>langName</vt:lpstr>
      <vt:lpstr>langTable</vt:lpstr>
      <vt:lpstr>Stadiums_lookup</vt:lpstr>
      <vt:lpstr>tzCode</vt:lpstr>
      <vt:lpstr>tzList</vt:lpstr>
      <vt:lpstr>tzOffset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Tom Edwards (UK)</cp:lastModifiedBy>
  <cp:revision>0</cp:revision>
  <dcterms:created xsi:type="dcterms:W3CDTF">2026-05-28T10:26:53Z</dcterms:created>
  <dcterms:modified xsi:type="dcterms:W3CDTF">2026-06-08T18:07:29Z</dcterms:modified>
  <dc:language>en-US</dc:language>
</cp:coreProperties>
</file>